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Headline" sheetId="2" r:id="rId2"/>
    <sheet name="P&amp;L Monthly" sheetId="3" r:id="rId3"/>
    <sheet name="Quarter Comparison" sheetId="4" r:id="rId4"/>
    <sheet name="Wages" sheetId="5" r:id="rId5"/>
    <sheet name="Working Capital" sheetId="6" r:id="rId6"/>
    <sheet name="Data" sheetId="7" r:id="rId7"/>
    <sheet name="Internal Data Measures" sheetId="8" r:id="rId8"/>
    <sheet name="Connect your data" sheetId="9" r:id="rId9"/>
  </sheets>
  <definedNames>
    <definedName name="_xlnm.Print_Area" localSheetId="8">'Connect your data'!$A$1:$M$22</definedName>
    <definedName name="_xlnm.Print_Area" localSheetId="0">Cover!$A$1:$M$44</definedName>
    <definedName name="_xlnm.Print_Titles" localSheetId="8">'Connect your data'!$1:$5</definedName>
    <definedName name="_xlnm.Print_Titles" localSheetId="6">Data!$1:$5</definedName>
    <definedName name="_xlnm.Print_Titles" localSheetId="1">Headline!$1:$5</definedName>
    <definedName name="_xlnm.Print_Titles" localSheetId="7">'Internal Data Measures'!$1:$5</definedName>
    <definedName name="_xlnm.Print_Titles" localSheetId="2">'P&amp;L Monthly'!$1:$5</definedName>
    <definedName name="_xlnm.Print_Titles" localSheetId="3">'Quarter Comparison'!$1:$5</definedName>
    <definedName name="_xlnm.Print_Titles" localSheetId="4">Wages!$1:$5</definedName>
    <definedName name="_xlnm.Print_Titles" localSheetId="5">'Working Capital'!$1:$5</definedName>
  </definedNames>
  <calcPr calcId="124519" fullCalcOnLoad="1"/>
</workbook>
</file>

<file path=xl/sharedStrings.xml><?xml version="1.0" encoding="utf-8"?>
<sst xmlns="http://schemas.openxmlformats.org/spreadsheetml/2006/main" count="415" uniqueCount="215">
  <si>
    <t>MONTHLY BOARD READ-OUT FOR SMES</t>
  </si>
  <si>
    <t>Management Reporting Pack</t>
  </si>
  <si>
    <t>HOW TO USE</t>
  </si>
  <si>
    <t>1.</t>
  </si>
  <si>
    <t>Open the Data sheet and paste your Profit and Loss by Month export. Map each account to a Report line.</t>
  </si>
  <si>
    <t>2.</t>
  </si>
  <si>
    <t>Open Internal Data Measures and update the working-capital days and department wage shares with your own figures.</t>
  </si>
  <si>
    <t>3.</t>
  </si>
  <si>
    <t>Every analytical sheet (Headline, P&amp;L Monthly, Quarter Comparison, Wages, Working Capital) recalculates automatically.</t>
  </si>
  <si>
    <t>DESIGNED FOR</t>
  </si>
  <si>
    <t>Owner-operated SME bookkeeper or finance lead preparing a monthly board read-out in under 90 minutes.</t>
  </si>
  <si>
    <t>EXAMPLE BUSINESS PROFILE</t>
  </si>
  <si>
    <t>Synthetic data inside this workbook represents the following business shape. Use it as a reference for what good looks like; your numbers will differ.</t>
  </si>
  <si>
    <t>INDUSTRY</t>
  </si>
  <si>
    <t>Wholesale and retail (Wholesale 50%, Retail 35%, Online 12%, Other 3%)</t>
  </si>
  <si>
    <t>REVENUE SCALE</t>
  </si>
  <si>
    <t>Circa $4M annual, growing modestly month-on-month</t>
  </si>
  <si>
    <t>GROSS MARGIN</t>
  </si>
  <si>
    <t>44 per cent on average</t>
  </si>
  <si>
    <t>HEADCOUNT MIX</t>
  </si>
  <si>
    <t>Operations 45%, Sales 22%, Finance and admin 14%, Customer service 11%, Executive 8%</t>
  </si>
  <si>
    <t>WORKING CAPITAL</t>
  </si>
  <si>
    <t>DSO 38 days, DPO 46 days, DIO 28 days</t>
  </si>
  <si>
    <t>INPUTS YOU NEED TO PROVIDE</t>
  </si>
  <si>
    <t>These figures vary by company and cannot be exported directly from your accounting software. Replace the amber-bordered sample values on the tabs noted below.</t>
  </si>
  <si>
    <t>Profit and loss by month</t>
  </si>
  <si>
    <t>Used on: Data tab (paste P&amp;L by Month export)</t>
  </si>
  <si>
    <t>Account to Report line mapping</t>
  </si>
  <si>
    <t>Used on: Data tab (dropdown in Report line column)</t>
  </si>
  <si>
    <t>Working capital days (DSO, DPO, DIO)</t>
  </si>
  <si>
    <t>Used on: Internal Data Measures tab → drives Working Capital tab</t>
  </si>
  <si>
    <t>Department wage allocation</t>
  </si>
  <si>
    <t>Used on: Internal Data Measures tab → drives Wages tab</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</si>
  <si>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</si>
  <si>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</si>
  <si>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</si>
  <si>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</si>
  <si>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</si>
  <si>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</si>
  <si>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</si>
  <si>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MONTH ENDING NOVEMBER 2025</t>
  </si>
  <si>
    <t>Monthly board read-out</t>
  </si>
  <si>
    <t>This sheet shows the headline metrics for the most recent month at the top, your written commentary in the middle, and a 12-month trend table at the bottom. Acronyms used below: Gross profit (GP), Earnings Before Interest, Tax, Depreciation and Amortisation (EBITDA), Net Profit After Tax (NPAT).</t>
  </si>
  <si>
    <t>REVENUE (LATEST MONTH)</t>
  </si>
  <si>
    <t>GROSS PROFIT</t>
  </si>
  <si>
    <t>EBITDA</t>
  </si>
  <si>
    <t>NET PROFIT</t>
  </si>
  <si>
    <t>NOTE FROM THE FINANCE LEAD</t>
  </si>
  <si>
    <t>Commentary</t>
  </si>
  <si>
    <t>Replace this text with your three- to five-sentence board commentary.
Example: Revenue lifted by 4.2 per cent on the prior month driven by stronger wholesale orders. Gross margin held flat at 45 per cent. EBITDA exceeded the monthly budget by $24k owing to lower outsourced wages. Cash position remains comfortable; the next BAS (Business Activity Statement) lodgement falls inside the upcoming quarter.</t>
  </si>
  <si>
    <t>SNAPSHOT</t>
  </si>
  <si>
    <t>12-month trend</t>
  </si>
  <si>
    <t>Series</t>
  </si>
  <si>
    <t>Dec 24</t>
  </si>
  <si>
    <t>Jan 25</t>
  </si>
  <si>
    <t>Feb 25</t>
  </si>
  <si>
    <t>Mar 25</t>
  </si>
  <si>
    <t>Apr 25</t>
  </si>
  <si>
    <t>May 25</t>
  </si>
  <si>
    <t>Jun 25</t>
  </si>
  <si>
    <t>Jul 25</t>
  </si>
  <si>
    <t>Aug 25</t>
  </si>
  <si>
    <t>Sep 25</t>
  </si>
  <si>
    <t>Oct 25</t>
  </si>
  <si>
    <t>Nov 25</t>
  </si>
  <si>
    <t>Trend</t>
  </si>
  <si>
    <t>Revenue</t>
  </si>
  <si>
    <t>Gross profit</t>
  </si>
  <si>
    <t>Net profit</t>
  </si>
  <si>
    <t>RECONCILIATION</t>
  </si>
  <si>
    <t>Tie-out checks for this tab</t>
  </si>
  <si>
    <t>Check</t>
  </si>
  <si>
    <t>Left side</t>
  </si>
  <si>
    <t>Right side</t>
  </si>
  <si>
    <t>Difference</t>
  </si>
  <si>
    <t>Status</t>
  </si>
  <si>
    <t>Revenue 12-month trend total ties to Data Revenue FY</t>
  </si>
  <si>
    <t>Net profit trend total ties to derived Net profit (Revenue minus all expenses)</t>
  </si>
  <si>
    <t>LAST 12 MONTHS</t>
  </si>
  <si>
    <t>Aggregated profit and loss read from the Data sheet by Report line. Revenue and Gross profit are calculated; Gross margin and EBITDA margin are derived percentages. EBITDA stands for Earnings Before Interest, Tax, Depreciation and Amortisation.</t>
  </si>
  <si>
    <t>DRAWN FROM THE DATA SHEET</t>
  </si>
  <si>
    <t>Monthly P&amp;L</t>
  </si>
  <si>
    <t>Line item</t>
  </si>
  <si>
    <t>FY Total</t>
  </si>
  <si>
    <t>Cost of sales</t>
  </si>
  <si>
    <t>Gross margin %</t>
  </si>
  <si>
    <t>Wages and salaries</t>
  </si>
  <si>
    <t>Other operating expenses</t>
  </si>
  <si>
    <t>EBITDA margin %</t>
  </si>
  <si>
    <t>Depreciation and amortisation</t>
  </si>
  <si>
    <t>Revenue FY ties to Data Revenue FY</t>
  </si>
  <si>
    <t>Net profit FY equals sum of monthly Net profit</t>
  </si>
  <si>
    <t>QUARTER OVER QUARTER</t>
  </si>
  <si>
    <t>Quarter comparison</t>
  </si>
  <si>
    <t>Compares the most recent three months (Sep 25 – Nov 25) to the prior three months (Jun 25 – Aug 25) for every profit and loss line item. Use the $ change and % change columns to spot what moved and where to focus your commentary. All figures are drawn directly from the Data sheet.</t>
  </si>
  <si>
    <t>Profit and loss line items, prior quarter vs current quarter</t>
  </si>
  <si>
    <t>Prior 3 months (Jun 25 – Aug 25)</t>
  </si>
  <si>
    <t>Current 3 months (Sep 25 – Nov 25)</t>
  </si>
  <si>
    <t>Change $</t>
  </si>
  <si>
    <t>Change %</t>
  </si>
  <si>
    <t>Change % on revenue, GP, EBITDA, Net profit:</t>
  </si>
  <si>
    <t>Lower</t>
  </si>
  <si>
    <t>Mid</t>
  </si>
  <si>
    <t>Higher</t>
  </si>
  <si>
    <t>Green = better, red = worse</t>
  </si>
  <si>
    <t>Change % on costs (lower is better):</t>
  </si>
  <si>
    <t>Current quarter Revenue ties to Data Revenue for the last three months</t>
  </si>
  <si>
    <t>Net profit current quarter equals Revenue minus all expenses for the same quarter</t>
  </si>
  <si>
    <t>HEADCOUNT AND PAYROLL EXPOSURE</t>
  </si>
  <si>
    <t>Wages by department</t>
  </si>
  <si>
    <t>Total Wages is read from the Data sheet (sum of all accounts classified as Wages). Department breakdown applies the share % set on the Internal Data Measures sheet. Payroll-to-revenue ratio is total Wages divided by Revenue per month.</t>
  </si>
  <si>
    <t>Department wages by month</t>
  </si>
  <si>
    <t>Department</t>
  </si>
  <si>
    <t>12-month total</t>
  </si>
  <si>
    <t>Operations</t>
  </si>
  <si>
    <t>Sales</t>
  </si>
  <si>
    <t>Finance and admin</t>
  </si>
  <si>
    <t>Customer service</t>
  </si>
  <si>
    <t>Executive</t>
  </si>
  <si>
    <t>Total wages</t>
  </si>
  <si>
    <t>PRODUCTIVITY</t>
  </si>
  <si>
    <t>Payroll to revenue ratio</t>
  </si>
  <si>
    <t>Metric</t>
  </si>
  <si>
    <t>FY average</t>
  </si>
  <si>
    <t>Payroll / revenue</t>
  </si>
  <si>
    <t>Payroll / revenue:</t>
  </si>
  <si>
    <t>Sum of department FY totals ties to Total wages FY</t>
  </si>
  <si>
    <t>Department wage shares sum to 100 per cent</t>
  </si>
  <si>
    <t>DAYS OUTSTANDING AND CASH CONVERSION</t>
  </si>
  <si>
    <t>Working capital</t>
  </si>
  <si>
    <t>Days Sales Outstanding (DSO) = average days to collect from customers. Days Payables Outstanding (DPO) = average days you take to pay suppliers. Days Inventory Outstanding (DIO) = average days stock sits before sale. Cash Conversion Cycle (CCC) = DSO + DIO - DPO; the lower the better.</t>
  </si>
  <si>
    <t>DRAWN FROM INTERNAL DATA MEASURES</t>
  </si>
  <si>
    <t>Days outstanding by month</t>
  </si>
  <si>
    <t>Average</t>
  </si>
  <si>
    <t>Days Sales Outstanding (DSO)</t>
  </si>
  <si>
    <t>Days Payables Outstanding (DPO)</t>
  </si>
  <si>
    <t>Days Inventory Outstanding (DIO)</t>
  </si>
  <si>
    <t>Cash Conversion Cycle (CCC)</t>
  </si>
  <si>
    <t>DSO and DIO (lower is better):</t>
  </si>
  <si>
    <t>DPO (higher is better):</t>
  </si>
  <si>
    <t>Latest month CCC equals DSO plus DIO minus DPO</t>
  </si>
  <si>
    <t>Average CCC ties to mean of monthly CCC values</t>
  </si>
  <si>
    <t>SINGLE SOURCE OF TRUTH</t>
  </si>
  <si>
    <t>Drop your data here</t>
  </si>
  <si>
    <t>Paste your Profit and Loss by Month export into the table below. Each row is one account from your chart of accounts. The Report line column controls how the rest of the workbook aggregates the numbers; keep it set to one of: Revenue, Cost of sales, Wages, Other opex, or D&amp;A. Other sheets read from this table using SUMIFS by Report line.</t>
  </si>
  <si>
    <t>STEP 1   PASTE YOUR P&amp;L BY MONTH EXPORT</t>
  </si>
  <si>
    <t>Profit and loss accounts</t>
  </si>
  <si>
    <t>Code</t>
  </si>
  <si>
    <t>Account name</t>
  </si>
  <si>
    <t>Account type</t>
  </si>
  <si>
    <t>Report line</t>
  </si>
  <si>
    <t>FY total</t>
  </si>
  <si>
    <t>200</t>
  </si>
  <si>
    <t>Sales - Wholesale</t>
  </si>
  <si>
    <t>210</t>
  </si>
  <si>
    <t>Sales - Retail</t>
  </si>
  <si>
    <t>220</t>
  </si>
  <si>
    <t>Sales - Online</t>
  </si>
  <si>
    <t>290</t>
  </si>
  <si>
    <t>Other Income</t>
  </si>
  <si>
    <t>310</t>
  </si>
  <si>
    <t>Cost of Goods Sold</t>
  </si>
  <si>
    <t>Direct Costs</t>
  </si>
  <si>
    <t>320</t>
  </si>
  <si>
    <t>Purchases - Materials</t>
  </si>
  <si>
    <t>477</t>
  </si>
  <si>
    <t>Wages and Salaries</t>
  </si>
  <si>
    <t>Expense</t>
  </si>
  <si>
    <t>Wages</t>
  </si>
  <si>
    <t>478</t>
  </si>
  <si>
    <t>Superannuation</t>
  </si>
  <si>
    <t>479</t>
  </si>
  <si>
    <t>Workers Compensation</t>
  </si>
  <si>
    <t>480</t>
  </si>
  <si>
    <t>Annual Leave Provision</t>
  </si>
  <si>
    <t>469</t>
  </si>
  <si>
    <t>Rent</t>
  </si>
  <si>
    <t>Overheads</t>
  </si>
  <si>
    <t>Other opex</t>
  </si>
  <si>
    <t>451</t>
  </si>
  <si>
    <t>Light Power Heating</t>
  </si>
  <si>
    <t>433</t>
  </si>
  <si>
    <t>Insurance</t>
  </si>
  <si>
    <t>461</t>
  </si>
  <si>
    <t>Marketing and Advertising</t>
  </si>
  <si>
    <t>463</t>
  </si>
  <si>
    <t>Office Expenses</t>
  </si>
  <si>
    <t>466</t>
  </si>
  <si>
    <t>Accounting and Legal Fees</t>
  </si>
  <si>
    <t>416</t>
  </si>
  <si>
    <t>Depreciation</t>
  </si>
  <si>
    <t>D&amp;A</t>
  </si>
  <si>
    <t>Column totals (sanity check)</t>
  </si>
  <si>
    <t>REFERENCE</t>
  </si>
  <si>
    <t>Report line aggregates</t>
  </si>
  <si>
    <t>INPUTS THAT DO NOT COME FROM THE P&amp;L</t>
  </si>
  <si>
    <t>Internal data measures</t>
  </si>
  <si>
    <t>This sheet holds the non-software inputs the analytical sheets need: working-capital days outstanding and your department wage allocation. These figures vary by company and cannot be exported from your accounting software; replace the amber-bordered cells with your own. Each section below names the analytical tab that consumes the figure.</t>
  </si>
  <si>
    <t>SECTION 1   USED ON: WORKING CAPITAL TAB</t>
  </si>
  <si>
    <t>Working capital days outstanding</t>
  </si>
  <si>
    <t>Cash Conversion Cycle (CCC) = DSO + DIO - DPO</t>
  </si>
  <si>
    <t>SECTION 2   USED ON: WAGES TAB</t>
  </si>
  <si>
    <t>Share of total wages</t>
  </si>
  <si>
    <t>POPULATE THIS WORKBOOK</t>
  </si>
  <si>
    <t>Connect your accounting data</t>
  </si>
  <si>
    <t>Option 1   Enter the data yourself</t>
  </si>
  <si>
    <t>Export the relevant report from your accounting software (e.g. management reporting pack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</si>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</sst>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_-&quot;$&quot;* #,##0_-;[Red]_-&quot;$&quot;* (#,##0)_-;_-&quot;$&quot;* &quot;-&quot;_-;_-@_-"/>
    <numFmt numFmtId="165" formatCode="0.0%;[Red](0.0%);&quot;-&quot;"/>
    <numFmt numFmtId="166" formatCode="#,##0&quot; days&quot;;[Red](#,##0)&quot; days&quot;;&quot;-&quot;"/>
  </numFmts>
  <fonts count="18">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20"/>
      <color rgb="FF1A1A1A"/>
      <name val="Arial"/>
      <family val="2"/>
    </font>
    <font>
      <b/>
      <sz val="14"/>
      <color rgb="FF1A1A1A"/>
      <name val="Arial"/>
      <family val="2"/>
    </font>
    <font>
      <sz val="10"/>
      <color rgb="FF2D7A55"/>
      <name val="Arial"/>
      <family val="2"/>
    </font>
    <font>
      <b/>
      <sz val="10"/>
      <color rgb="FFFFFFFF"/>
      <name val="Arial"/>
      <family val="2"/>
    </font>
    <font>
      <b/>
      <sz val="10"/>
      <color rgb="FF707070"/>
      <name val="Arial"/>
      <family val="2"/>
    </font>
    <font>
      <b/>
      <sz val="10"/>
      <color rgb="FF1A1A1A"/>
      <name val="Arial"/>
      <family val="2"/>
    </font>
    <font>
      <b/>
      <sz val="11"/>
      <color rgb="FFFFFFFF"/>
      <name val="Arial"/>
      <family val="2"/>
    </font>
    <font>
      <sz val="9"/>
      <color rgb="FF1A1A1A"/>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
      <patternFill patternType="solid">
        <fgColor rgb="FFFCE5E6"/>
        <bgColor indexed="64"/>
      </patternFill>
    </fill>
    <fill>
      <patternFill patternType="solid">
        <fgColor rgb="FFE0F2E5"/>
        <bgColor indexed="64"/>
      </patternFill>
    </fill>
  </fills>
  <borders count="5">
    <border>
      <left/>
      <right/>
      <top/>
      <bottom/>
      <diagonal/>
    </border>
    <border>
      <left style="thin">
        <color rgb="FFF5A524"/>
      </left>
      <right style="thin">
        <color rgb="FFF5A524"/>
      </right>
      <top style="thin">
        <color rgb="FFF5A524"/>
      </top>
      <bottom style="thin">
        <color rgb="FFF5A524"/>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s>
  <cellStyleXfs count="1">
    <xf numFmtId="0" fontId="0" fillId="0" borderId="0"/>
  </cellStyleXfs>
  <cellXfs count="42">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8" fillId="5" borderId="0" xfId="0" applyFont="1" applyFill="1" applyAlignment="1">
      <alignment horizontal="left" vertical="center" indent="1"/>
    </xf>
    <xf numFmtId="164" fontId="10" fillId="5" borderId="0" xfId="0" applyNumberFormat="1" applyFont="1" applyFill="1" applyAlignment="1">
      <alignment horizontal="left" vertical="center" indent="1"/>
    </xf>
    <xf numFmtId="0" fontId="6" fillId="5" borderId="0" xfId="0" applyFont="1" applyFill="1" applyAlignment="1">
      <alignment horizontal="left" vertical="center" indent="1"/>
    </xf>
    <xf numFmtId="0" fontId="11" fillId="0" borderId="0" xfId="0" applyFont="1" applyAlignment="1">
      <alignment horizontal="left" vertical="center"/>
    </xf>
    <xf numFmtId="0" fontId="12" fillId="6" borderId="1" xfId="0" applyFont="1" applyFill="1" applyBorder="1" applyAlignment="1">
      <alignment horizontal="left" vertical="center" indent="1"/>
    </xf>
    <xf numFmtId="0" fontId="13" fillId="2" borderId="2" xfId="0" applyFont="1" applyFill="1" applyBorder="1" applyAlignment="1">
      <alignment horizontal="left" vertical="center" wrapText="1"/>
    </xf>
    <xf numFmtId="0" fontId="13" fillId="2" borderId="2" xfId="0" applyFont="1" applyFill="1" applyBorder="1" applyAlignment="1">
      <alignment horizontal="right" vertical="center" wrapText="1"/>
    </xf>
    <xf numFmtId="0" fontId="1" fillId="5" borderId="3" xfId="0" applyFont="1" applyFill="1" applyBorder="1" applyAlignment="1">
      <alignment horizontal="left" vertical="center"/>
    </xf>
    <xf numFmtId="164" fontId="1" fillId="5" borderId="3" xfId="0" applyNumberFormat="1" applyFont="1" applyFill="1" applyBorder="1" applyAlignment="1">
      <alignment horizontal="right" vertical="center"/>
    </xf>
    <xf numFmtId="0" fontId="1" fillId="7" borderId="3" xfId="0" applyFont="1" applyFill="1" applyBorder="1" applyAlignment="1">
      <alignment horizontal="left" vertical="center"/>
    </xf>
    <xf numFmtId="164" fontId="1" fillId="7" borderId="3" xfId="0" applyNumberFormat="1" applyFont="1" applyFill="1" applyBorder="1" applyAlignment="1">
      <alignment horizontal="right" vertical="center"/>
    </xf>
    <xf numFmtId="0" fontId="14" fillId="7" borderId="3" xfId="0" applyFont="1" applyFill="1" applyBorder="1" applyAlignment="1">
      <alignment horizontal="center" vertical="center"/>
    </xf>
    <xf numFmtId="0" fontId="15" fillId="7" borderId="3" xfId="0" applyFont="1" applyFill="1" applyBorder="1" applyAlignment="1">
      <alignment horizontal="left" vertical="center"/>
    </xf>
    <xf numFmtId="164" fontId="15" fillId="7" borderId="3" xfId="0" applyNumberFormat="1" applyFont="1" applyFill="1" applyBorder="1" applyAlignment="1">
      <alignment horizontal="right" vertical="center"/>
    </xf>
    <xf numFmtId="165" fontId="1" fillId="5" borderId="3" xfId="0" applyNumberFormat="1" applyFont="1" applyFill="1" applyBorder="1" applyAlignment="1">
      <alignment horizontal="right" vertical="center"/>
    </xf>
    <xf numFmtId="0" fontId="16" fillId="2" borderId="4" xfId="0" applyFont="1" applyFill="1" applyBorder="1" applyAlignment="1">
      <alignment horizontal="left" vertical="center" indent="1"/>
    </xf>
    <xf numFmtId="164" fontId="16" fillId="2" borderId="4" xfId="0" applyNumberFormat="1" applyFont="1" applyFill="1" applyBorder="1" applyAlignment="1">
      <alignment horizontal="right" vertical="center"/>
    </xf>
    <xf numFmtId="165" fontId="1" fillId="7" borderId="3" xfId="0" applyNumberFormat="1" applyFont="1" applyFill="1" applyBorder="1" applyAlignment="1">
      <alignment horizontal="right" vertical="center"/>
    </xf>
    <xf numFmtId="165" fontId="15" fillId="7" borderId="3" xfId="0" applyNumberFormat="1" applyFont="1" applyFill="1" applyBorder="1" applyAlignment="1">
      <alignment horizontal="right" vertical="center"/>
    </xf>
    <xf numFmtId="0" fontId="17" fillId="8" borderId="3" xfId="0" applyFont="1" applyFill="1" applyBorder="1" applyAlignment="1">
      <alignment horizontal="center" vertical="center"/>
    </xf>
    <xf numFmtId="0" fontId="6" fillId="7" borderId="3" xfId="0" applyFont="1" applyFill="1" applyBorder="1" applyAlignment="1">
      <alignment horizontal="center" vertical="center"/>
    </xf>
    <xf numFmtId="0" fontId="17" fillId="9" borderId="3" xfId="0" applyFont="1" applyFill="1" applyBorder="1" applyAlignment="1">
      <alignment horizontal="center" vertical="center"/>
    </xf>
    <xf numFmtId="166" fontId="1" fillId="7" borderId="3" xfId="0" applyNumberFormat="1" applyFont="1" applyFill="1" applyBorder="1" applyAlignment="1">
      <alignment horizontal="right" vertical="center"/>
    </xf>
    <xf numFmtId="166" fontId="1" fillId="5" borderId="3" xfId="0" applyNumberFormat="1" applyFont="1" applyFill="1" applyBorder="1" applyAlignment="1">
      <alignment horizontal="right" vertical="center"/>
    </xf>
    <xf numFmtId="166" fontId="16" fillId="2" borderId="4" xfId="0" applyNumberFormat="1" applyFont="1" applyFill="1" applyBorder="1" applyAlignment="1">
      <alignment horizontal="right" vertical="center"/>
    </xf>
    <xf numFmtId="164" fontId="12" fillId="6" borderId="1" xfId="0" applyNumberFormat="1" applyFont="1" applyFill="1" applyBorder="1" applyAlignment="1">
      <alignment horizontal="right" vertical="center"/>
    </xf>
    <xf numFmtId="0" fontId="15" fillId="5" borderId="3" xfId="0" applyFont="1" applyFill="1" applyBorder="1" applyAlignment="1">
      <alignment horizontal="left" vertical="center" indent="1"/>
    </xf>
    <xf numFmtId="166" fontId="12" fillId="6" borderId="1" xfId="0" applyNumberFormat="1" applyFont="1" applyFill="1" applyBorder="1" applyAlignment="1">
      <alignment horizontal="right" vertical="center"/>
    </xf>
    <xf numFmtId="165" fontId="12" fillId="6" borderId="1"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Revenue and EBITDA trend</a:t>
            </a:r>
          </a:p>
        </c:rich>
      </c:tx>
      <c:layout/>
    </c:title>
    <c:plotArea>
      <c:layout/>
      <c:lineChart>
        <c:grouping val="standard"/>
        <c:ser>
          <c:idx val="0"/>
          <c:order val="0"/>
          <c:tx>
            <c:v>Revenue</c:v>
          </c:tx>
          <c:spPr>
            <a:ln w="28575">
              <a:solidFill>
                <a:srgbClr val="3A9E6E"/>
              </a:solidFill>
            </a:ln>
          </c:spPr>
          <c:marker>
            <c:symbol val="circle"/>
            <c:size val="5"/>
            <c:spPr>
              <a:solidFill>
                <a:srgbClr val="3A9E6E"/>
              </a:solidFill>
              <a:ln>
                <a:solidFill>
                  <a:srgbClr val="3A9E6E"/>
                </a:solidFill>
              </a:ln>
            </c:spPr>
          </c:marker>
          <c:cat>
            <c:strRef>
              <c:f>'P&amp;L Monthly'!$C$9:$N$9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'P&amp;L Monthly'!$C$10:$N$10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v>EBITDA</c:v>
          </c:tx>
          <c:spPr>
            <a:ln w="28575">
              <a:solidFill>
                <a:srgbClr val="1A1A1A"/>
              </a:solidFill>
            </a:ln>
          </c:spPr>
          <c:marker>
            <c:symbol val="circle"/>
            <c:size val="5"/>
            <c:spPr>
              <a:solidFill>
                <a:srgbClr val="1A1A1A"/>
              </a:solidFill>
              <a:ln>
                <a:solidFill>
                  <a:srgbClr val="1A1A1A"/>
                </a:solidFill>
              </a:ln>
            </c:spPr>
          </c:marker>
          <c:cat>
            <c:strRef>
              <c:f>'P&amp;L Monthly'!$C$9:$N$9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'P&amp;L Monthly'!$C$16:$N$16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50010001"/>
        <c:axId val="50010002"/>
      </c:line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legend>
      <c:legendPos val="b"/>
      <c:layout/>
      <c:txPr>
        <a:bodyPr/>
        <a:lstStyle/>
        <a:p>
          <a:pPr>
            <a:defRPr sz="900" baseline="0">
              <a:solidFill>
                <a:srgbClr val="707070"/>
              </a:solidFill>
              <a:latin typeface="Arial"/>
            </a:defRPr>
          </a:pPr>
          <a:endParaRPr lang="en-US"/>
        </a:p>
      </c:txPr>
    </c:legend>
    <c:plotVisOnly val="1"/>
  </c:chart>
  <c:spPr>
    <a:solidFill>
      <a:srgbClr val="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Prior quarter vs current quarter by line item</a:t>
            </a:r>
          </a:p>
        </c:rich>
      </c:tx>
      <c:layout/>
    </c:title>
    <c:plotArea>
      <c:layout/>
      <c:barChart>
        <c:barDir val="col"/>
        <c:grouping val="clustered"/>
        <c:ser>
          <c:idx val="0"/>
          <c:order val="0"/>
          <c:tx>
            <c:v>Prior 3 months</c:v>
          </c:tx>
          <c:spPr>
            <a:solidFill>
              <a:srgbClr val="7CC09C"/>
            </a:solidFill>
            <a:ln>
              <a:noFill/>
            </a:ln>
          </c:spPr>
          <c:cat>
            <c:strRef>
              <c:f>'Quarter Comparison'!$B$10:$B$17</c:f>
              <c:strCache>
                <c:ptCount val="8"/>
                <c:pt idx="0">
                  <c:v>Revenue</c:v>
                </c:pt>
                <c:pt idx="1">
                  <c:v>Cost of sales</c:v>
                </c:pt>
                <c:pt idx="2">
                  <c:v>Gross profit</c:v>
                </c:pt>
                <c:pt idx="3">
                  <c:v>Wages and salaries</c:v>
                </c:pt>
                <c:pt idx="4">
                  <c:v>Other operating expenses</c:v>
                </c:pt>
                <c:pt idx="5">
                  <c:v>EBITDA</c:v>
                </c:pt>
                <c:pt idx="6">
                  <c:v>Depreciation and amortisation</c:v>
                </c:pt>
                <c:pt idx="7">
                  <c:v>Net profit</c:v>
                </c:pt>
              </c:strCache>
            </c:strRef>
          </c:cat>
          <c:val>
            <c:numRef>
              <c:f>'Quarter Comparison'!$C$10:$C$17</c:f>
              <c:numCache>
                <c:formatCode>General</c:formatCode>
                <c:ptCount val="8"/>
                <c:pt idx="0">
                  <c:v>0</c:v>
                </c:pt>
                <c:pt idx="1">
                  <c:v>0</c:v>
                </c:pt>
                <c:pt idx="2">
                  <c:v>0</c:v>
                </c:pt>
                <c:pt idx="3">
                  <c:v>0</c:v>
                </c:pt>
                <c:pt idx="4">
                  <c:v>0</c:v>
                </c:pt>
                <c:pt idx="5">
                  <c:v>0</c:v>
                </c:pt>
                <c:pt idx="6">
                  <c:v>0</c:v>
                </c:pt>
                <c:pt idx="7">
                  <c:v>0</c:v>
                </c:pt>
              </c:numCache>
            </c:numRef>
          </c:val>
        </c:ser>
        <c:ser>
          <c:idx val="1"/>
          <c:order val="1"/>
          <c:tx>
            <c:v>Current 3 months</c:v>
          </c:tx>
          <c:spPr>
            <a:solidFill>
              <a:srgbClr val="3A9E6E"/>
            </a:solidFill>
            <a:ln>
              <a:noFill/>
            </a:ln>
          </c:spPr>
          <c:cat>
            <c:strRef>
              <c:f>'Quarter Comparison'!$B$10:$B$17</c:f>
              <c:strCache>
                <c:ptCount val="8"/>
                <c:pt idx="0">
                  <c:v>Revenue</c:v>
                </c:pt>
                <c:pt idx="1">
                  <c:v>Cost of sales</c:v>
                </c:pt>
                <c:pt idx="2">
                  <c:v>Gross profit</c:v>
                </c:pt>
                <c:pt idx="3">
                  <c:v>Wages and salaries</c:v>
                </c:pt>
                <c:pt idx="4">
                  <c:v>Other operating expenses</c:v>
                </c:pt>
                <c:pt idx="5">
                  <c:v>EBITDA</c:v>
                </c:pt>
                <c:pt idx="6">
                  <c:v>Depreciation and amortisation</c:v>
                </c:pt>
                <c:pt idx="7">
                  <c:v>Net profit</c:v>
                </c:pt>
              </c:strCache>
            </c:strRef>
          </c:cat>
          <c:val>
            <c:numRef>
              <c:f>'Quarter Comparison'!$D$10:$D$17</c:f>
              <c:numCache>
                <c:formatCode>General</c:formatCode>
                <c:ptCount val="8"/>
                <c:pt idx="0">
                  <c:v>0</c:v>
                </c:pt>
                <c:pt idx="1">
                  <c:v>0</c:v>
                </c:pt>
                <c:pt idx="2">
                  <c:v>0</c:v>
                </c:pt>
                <c:pt idx="3">
                  <c:v>0</c:v>
                </c:pt>
                <c:pt idx="4">
                  <c:v>0</c:v>
                </c:pt>
                <c:pt idx="5">
                  <c:v>0</c:v>
                </c:pt>
                <c:pt idx="6">
                  <c:v>0</c:v>
                </c:pt>
                <c:pt idx="7">
                  <c:v>0</c:v>
                </c:pt>
              </c:numCache>
            </c:numRef>
          </c:val>
        </c:ser>
        <c:gapWidth val="80"/>
        <c:axId val="50020001"/>
        <c:axId val="50020002"/>
      </c:barChart>
      <c:catAx>
        <c:axId val="5002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20002"/>
        <c:crosses val="autoZero"/>
        <c:auto val="1"/>
        <c:lblAlgn val="ctr"/>
        <c:lblOffset val="100"/>
      </c:catAx>
      <c:valAx>
        <c:axId val="5002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20001"/>
        <c:crosses val="autoZero"/>
        <c:crossBetween val="between"/>
      </c:valAx>
      <c:spPr>
        <a:solidFill>
          <a:srgbClr val="FFFFFF"/>
        </a:solidFill>
        <a:ln>
          <a:noFill/>
        </a:ln>
      </c:spPr>
    </c:plotArea>
    <c:legend>
      <c:legendPos val="b"/>
      <c:layout/>
      <c:txPr>
        <a:bodyPr/>
        <a:lstStyle/>
        <a:p>
          <a:pPr>
            <a:defRPr sz="900" baseline="0">
              <a:solidFill>
                <a:srgbClr val="707070"/>
              </a:solidFill>
              <a:latin typeface="Arial"/>
            </a:defRPr>
          </a:pPr>
          <a:endParaRPr lang="en-US"/>
        </a:p>
      </c:txPr>
    </c:legend>
    <c:plotVisOnly val="1"/>
  </c:chart>
  <c:spPr>
    <a:solidFill>
      <a:srgbClr val="FFFFFF"/>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Cash conversion cycle by month</a:t>
            </a:r>
          </a:p>
        </c:rich>
      </c:tx>
      <c:layout/>
    </c:title>
    <c:plotArea>
      <c:layout/>
      <c:lineChart>
        <c:grouping val="standard"/>
        <c:ser>
          <c:idx val="0"/>
          <c:order val="0"/>
          <c:tx>
            <c:v>Cash Conversion Cycle (days)</c:v>
          </c:tx>
          <c:spPr>
            <a:ln w="28575">
              <a:solidFill>
                <a:srgbClr val="3A9E6E"/>
              </a:solidFill>
            </a:ln>
          </c:spPr>
          <c:marker>
            <c:symbol val="circle"/>
            <c:size val="5"/>
            <c:spPr>
              <a:solidFill>
                <a:srgbClr val="3A9E6E"/>
              </a:solidFill>
              <a:ln>
                <a:solidFill>
                  <a:srgbClr val="3A9E6E"/>
                </a:solidFill>
              </a:ln>
            </c:spPr>
          </c:marker>
          <c:cat>
            <c:strRef>
              <c:f>'Working Capital'!$C$9:$N$9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'Working Capital'!$C$13:$N$13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50030001"/>
        <c:axId val="50030002"/>
      </c:lineChart>
      <c:catAx>
        <c:axId val="5003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30002"/>
        <c:crosses val="autoZero"/>
        <c:auto val="1"/>
        <c:lblAlgn val="ctr"/>
        <c:lblOffset val="100"/>
      </c:catAx>
      <c:valAx>
        <c:axId val="5003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3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5916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506450" y="38100"/>
          <a:ext cx="675794" cy="652929"/>
        </a:xfrm>
        <a:prstGeom prst="rect">
          <a:avLst/>
        </a:prstGeom>
      </xdr:spPr>
    </xdr:pic>
    <xdr:clientData/>
  </xdr:twoCellAnchor>
  <xdr:twoCellAnchor>
    <xdr:from>
      <xdr:col>1</xdr:col>
      <xdr:colOff>0</xdr:colOff>
      <xdr:row>26</xdr:row>
      <xdr:rowOff>0</xdr:rowOff>
    </xdr:from>
    <xdr:to>
      <xdr:col>8</xdr:col>
      <xdr:colOff>390525</xdr:colOff>
      <xdr:row>41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020050" y="38100"/>
          <a:ext cx="675794" cy="652929"/>
        </a:xfrm>
        <a:prstGeom prst="rect">
          <a:avLst/>
        </a:prstGeom>
      </xdr:spPr>
    </xdr:pic>
    <xdr:clientData/>
  </xdr:twoCellAnchor>
  <xdr:twoCellAnchor>
    <xdr:from>
      <xdr:col>1</xdr:col>
      <xdr:colOff>0</xdr:colOff>
      <xdr:row>27</xdr:row>
      <xdr:rowOff>0</xdr:rowOff>
    </xdr:from>
    <xdr:to>
      <xdr:col>7</xdr:col>
      <xdr:colOff>38100</xdr:colOff>
      <xdr:row>43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239750"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773150" y="38100"/>
          <a:ext cx="675794" cy="652929"/>
        </a:xfrm>
        <a:prstGeom prst="rect">
          <a:avLst/>
        </a:prstGeom>
      </xdr:spPr>
    </xdr:pic>
    <xdr:clientData/>
  </xdr:twoCellAnchor>
  <xdr:twoCellAnchor>
    <xdr:from>
      <xdr:col>1</xdr:col>
      <xdr:colOff>0</xdr:colOff>
      <xdr:row>23</xdr:row>
      <xdr:rowOff>0</xdr:rowOff>
    </xdr:from>
    <xdr:to>
      <xdr:col>8</xdr:col>
      <xdr:colOff>123825</xdr:colOff>
      <xdr:row>37</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4049375" y="38100"/>
          <a:ext cx="675794" cy="6529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982700" y="38100"/>
          <a:ext cx="675794" cy="6529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tabColor rgb="FF3A9E6E"/>
  </sheetPr>
  <dimension ref="A1:M42"/>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ht="22" customHeight="1">
      <c r="B25" s="3" t="s">
        <v>21</v>
      </c>
      <c r="D25" s="8" t="s">
        <v>22</v>
      </c>
      <c r="E25" s="8"/>
      <c r="F25" s="8"/>
      <c r="G25" s="8"/>
      <c r="H25" s="8"/>
      <c r="I25" s="8"/>
      <c r="J25" s="8"/>
      <c r="K25" s="8"/>
      <c r="L25" s="8"/>
      <c r="M25" s="4"/>
    </row>
    <row r="26" spans="2:13">
      <c r="M26" s="4"/>
    </row>
    <row r="27" spans="2:13" ht="18" customHeight="1">
      <c r="B27" s="3" t="s">
        <v>23</v>
      </c>
      <c r="M27" s="4"/>
    </row>
    <row r="28" spans="2:13" ht="24" customHeight="1">
      <c r="B28" s="6" t="s">
        <v>24</v>
      </c>
      <c r="C28" s="6"/>
      <c r="D28" s="6"/>
      <c r="E28" s="6"/>
      <c r="F28" s="6"/>
      <c r="G28" s="6"/>
      <c r="H28" s="6"/>
      <c r="I28" s="6"/>
      <c r="J28" s="6"/>
      <c r="K28" s="6"/>
      <c r="L28" s="6"/>
      <c r="M28" s="4"/>
    </row>
    <row r="29" spans="2:13" ht="22" customHeight="1">
      <c r="B29" s="3" t="s">
        <v>25</v>
      </c>
      <c r="F29" s="8" t="s">
        <v>26</v>
      </c>
      <c r="G29" s="8"/>
      <c r="H29" s="8"/>
      <c r="I29" s="8"/>
      <c r="J29" s="8"/>
      <c r="K29" s="8"/>
      <c r="L29" s="8"/>
      <c r="M29" s="4"/>
    </row>
    <row r="30" spans="2:13" ht="22" customHeight="1">
      <c r="B30" s="3" t="s">
        <v>27</v>
      </c>
      <c r="F30" s="8" t="s">
        <v>28</v>
      </c>
      <c r="G30" s="8"/>
      <c r="H30" s="8"/>
      <c r="I30" s="8"/>
      <c r="J30" s="8"/>
      <c r="K30" s="8"/>
      <c r="L30" s="8"/>
      <c r="M30" s="4"/>
    </row>
    <row r="31" spans="2:13" ht="22" customHeight="1">
      <c r="B31" s="3" t="s">
        <v>29</v>
      </c>
      <c r="F31" s="8" t="s">
        <v>30</v>
      </c>
      <c r="G31" s="8"/>
      <c r="H31" s="8"/>
      <c r="I31" s="8"/>
      <c r="J31" s="8"/>
      <c r="K31" s="8"/>
      <c r="L31" s="8"/>
      <c r="M31" s="4"/>
    </row>
    <row r="32" spans="2:13" ht="22" customHeight="1">
      <c r="B32" s="3" t="s">
        <v>31</v>
      </c>
      <c r="F32" s="8" t="s">
        <v>32</v>
      </c>
      <c r="G32" s="8"/>
      <c r="H32" s="8"/>
      <c r="I32" s="8"/>
      <c r="J32" s="8"/>
      <c r="K32" s="8"/>
      <c r="L32" s="8"/>
      <c r="M32" s="4"/>
    </row>
    <row r="33" spans="2:13">
      <c r="M33" s="4"/>
    </row>
    <row r="34" spans="2:13" ht="18" customHeight="1">
      <c r="B34" s="3" t="s">
        <v>33</v>
      </c>
      <c r="C34" s="3"/>
      <c r="D34" s="3"/>
      <c r="E34" s="3"/>
      <c r="F34" s="3"/>
      <c r="G34" s="3"/>
      <c r="H34" s="3"/>
      <c r="I34" s="3"/>
      <c r="J34" s="3"/>
      <c r="K34" s="3"/>
      <c r="L34" s="3"/>
      <c r="M34" s="4"/>
    </row>
    <row r="35" spans="2:13" ht="24" customHeight="1">
      <c r="B35" s="7" t="s">
        <v>34</v>
      </c>
      <c r="C35" s="7"/>
      <c r="D35" s="7"/>
      <c r="E35" s="7"/>
      <c r="F35" s="7"/>
      <c r="G35" s="7"/>
      <c r="H35" s="7"/>
      <c r="I35" s="7"/>
      <c r="J35" s="7"/>
      <c r="K35" s="7"/>
      <c r="L35" s="7"/>
      <c r="M35" s="4"/>
    </row>
    <row r="36" spans="2:13" ht="18" customHeight="1">
      <c r="B36" s="3" t="s">
        <v>35</v>
      </c>
      <c r="C36" s="3"/>
      <c r="D36" s="3"/>
      <c r="E36" s="3"/>
      <c r="F36" s="3"/>
      <c r="G36" s="3"/>
      <c r="H36" s="3"/>
      <c r="I36" s="3"/>
      <c r="J36" s="3"/>
      <c r="K36" s="3"/>
      <c r="L36" s="3"/>
      <c r="M36" s="4"/>
    </row>
    <row r="37" spans="2:13" ht="38" customHeight="1">
      <c r="B37" s="7" t="s">
        <v>36</v>
      </c>
      <c r="C37" s="7"/>
      <c r="D37" s="7"/>
      <c r="E37" s="7"/>
      <c r="F37" s="7"/>
      <c r="G37" s="7"/>
      <c r="H37" s="7"/>
      <c r="I37" s="7"/>
      <c r="J37" s="7"/>
      <c r="K37" s="7"/>
      <c r="L37" s="7"/>
      <c r="M37" s="4"/>
    </row>
    <row r="38" spans="2:13" ht="18" customHeight="1">
      <c r="B38" s="3" t="s">
        <v>37</v>
      </c>
      <c r="C38" s="3"/>
      <c r="D38" s="3"/>
      <c r="E38" s="3"/>
      <c r="F38" s="3"/>
      <c r="G38" s="3"/>
      <c r="H38" s="3"/>
      <c r="I38" s="3"/>
      <c r="J38" s="3"/>
      <c r="K38" s="3"/>
      <c r="L38" s="3"/>
      <c r="M38" s="4"/>
    </row>
    <row r="39" spans="2:13" ht="34" customHeight="1">
      <c r="B39" s="9" t="s">
        <v>38</v>
      </c>
      <c r="C39" s="9"/>
      <c r="D39" s="9"/>
      <c r="E39" s="9"/>
      <c r="F39" s="9"/>
      <c r="G39" s="9"/>
      <c r="H39" s="9"/>
      <c r="I39" s="9"/>
      <c r="J39" s="9"/>
      <c r="K39" s="9"/>
      <c r="L39" s="9"/>
      <c r="M39" s="4"/>
    </row>
    <row r="40" spans="2:13">
      <c r="M40" s="4"/>
    </row>
    <row r="41" spans="2:13" ht="28" customHeight="1">
      <c r="B41" s="10" t="s">
        <v>39</v>
      </c>
      <c r="C41" s="10"/>
      <c r="D41" s="10"/>
      <c r="E41" s="10"/>
      <c r="F41" s="10"/>
      <c r="G41" s="10"/>
      <c r="H41" s="10"/>
      <c r="I41" s="10"/>
      <c r="J41" s="10"/>
      <c r="K41" s="10"/>
      <c r="L41" s="10"/>
      <c r="M41" s="4"/>
    </row>
    <row r="42" spans="2:13" ht="28" customHeight="1">
      <c r="B42" s="10"/>
      <c r="C42" s="10"/>
      <c r="D42" s="10"/>
      <c r="E42" s="10"/>
      <c r="F42" s="10"/>
      <c r="G42" s="10"/>
      <c r="H42" s="10"/>
      <c r="I42" s="10"/>
      <c r="J42" s="10"/>
      <c r="K42" s="10"/>
      <c r="L42" s="10"/>
      <c r="M42" s="4"/>
    </row>
  </sheetData>
  <mergeCells count="23">
    <mergeCell ref="B9:L9"/>
    <mergeCell ref="C12:L12"/>
    <mergeCell ref="C13:L13"/>
    <mergeCell ref="C14:L14"/>
    <mergeCell ref="B17:L17"/>
    <mergeCell ref="B20:L20"/>
    <mergeCell ref="D21:L21"/>
    <mergeCell ref="D22:L22"/>
    <mergeCell ref="D23:L23"/>
    <mergeCell ref="D24:L24"/>
    <mergeCell ref="D25:L25"/>
    <mergeCell ref="B28:L28"/>
    <mergeCell ref="F29:L29"/>
    <mergeCell ref="F30:L30"/>
    <mergeCell ref="F31:L31"/>
    <mergeCell ref="F32:L32"/>
    <mergeCell ref="B34:L34"/>
    <mergeCell ref="B35:L35"/>
    <mergeCell ref="B36:L36"/>
    <mergeCell ref="B37:L37"/>
    <mergeCell ref="B38:L38"/>
    <mergeCell ref="B39:L39"/>
    <mergeCell ref="B41:L42"/>
  </mergeCells>
  <hyperlinks>
    <hyperlink ref="B4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O30"/>
  <sheetViews>
    <sheetView showGridLines="0" workbookViewId="0"/>
  </sheetViews>
  <sheetFormatPr defaultRowHeight="15"/>
  <cols>
    <col min="1" max="1" width="2.7109375" customWidth="1"/>
    <col min="2" max="2" width="22.7109375" customWidth="1"/>
    <col min="3" max="14" width="10.7109375" customWidth="1"/>
    <col min="15" max="15" width="14.7109375" customWidth="1"/>
    <col min="16" max="16" width="2.7109375" customWidth="1"/>
  </cols>
  <sheetData>
    <row r="1" spans="1:15" ht="14" customHeight="1">
      <c r="A1" s="1"/>
      <c r="B1" s="1"/>
      <c r="C1" s="1"/>
      <c r="D1" s="1"/>
      <c r="E1" s="1"/>
      <c r="F1" s="1"/>
      <c r="G1" s="1"/>
      <c r="H1" s="1"/>
      <c r="I1" s="1"/>
      <c r="J1" s="1"/>
      <c r="K1" s="1"/>
      <c r="L1" s="1"/>
      <c r="M1" s="1"/>
      <c r="N1" s="1"/>
      <c r="O1" s="1"/>
    </row>
    <row r="2" spans="1:15" ht="16" customHeight="1">
      <c r="A2" s="1"/>
      <c r="B2" s="11" t="s">
        <v>40</v>
      </c>
      <c r="C2" s="11"/>
      <c r="D2" s="11"/>
      <c r="E2" s="11"/>
      <c r="F2" s="11"/>
      <c r="G2" s="11"/>
      <c r="H2" s="11"/>
      <c r="I2" s="11"/>
      <c r="J2" s="11"/>
      <c r="K2" s="11"/>
      <c r="L2" s="11"/>
      <c r="M2" s="11"/>
      <c r="N2" s="1"/>
      <c r="O2" s="1"/>
    </row>
    <row r="3" spans="1:15" ht="26" customHeight="1">
      <c r="A3" s="1"/>
      <c r="B3" s="12" t="s">
        <v>41</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8" customHeight="1">
      <c r="B5" s="6" t="s">
        <v>42</v>
      </c>
      <c r="C5" s="6"/>
      <c r="D5" s="6"/>
      <c r="E5" s="6"/>
      <c r="F5" s="6"/>
      <c r="G5" s="6"/>
      <c r="H5" s="6"/>
      <c r="I5" s="6"/>
      <c r="J5" s="6"/>
      <c r="K5" s="6"/>
      <c r="L5" s="6"/>
      <c r="M5" s="6"/>
      <c r="N5" s="6"/>
    </row>
    <row r="7" spans="1:15" ht="18" customHeight="1">
      <c r="B7" s="13" t="s">
        <v>43</v>
      </c>
      <c r="C7" s="13"/>
      <c r="D7" s="13"/>
      <c r="E7" s="13" t="s">
        <v>44</v>
      </c>
      <c r="F7" s="13"/>
      <c r="G7" s="13"/>
      <c r="H7" s="13" t="s">
        <v>45</v>
      </c>
      <c r="I7" s="13"/>
      <c r="J7" s="13"/>
      <c r="K7" s="13" t="s">
        <v>46</v>
      </c>
      <c r="L7" s="13"/>
      <c r="M7" s="13"/>
    </row>
    <row r="8" spans="1:15" ht="32" customHeight="1">
      <c r="B8" s="14">
        <f>SUMIFS('Data'!$Q$10:$Q$26,'Data'!$E$10:$E$26,"Revenue")</f>
        <v>0</v>
      </c>
      <c r="C8" s="14"/>
      <c r="D8" s="14"/>
      <c r="E8" s="14">
        <f>SUMIFS('Data'!$Q$10:$Q$26,'Data'!$E$10:$E$26,"Revenue")-SUMIFS('Data'!$Q$10:$Q$26,'Data'!$E$10:$E$26,"Cost of sales")</f>
        <v>0</v>
      </c>
      <c r="F8" s="14"/>
      <c r="G8" s="14"/>
      <c r="H8" s="14">
        <f>SUMIFS('Data'!$Q$10:$Q$26,'Data'!$E$10:$E$26,"Revenue")-SUMIFS('Data'!$Q$10:$Q$26,'Data'!$E$10:$E$26,"Cost of sales")-SUMIFS('Data'!$Q$10:$Q$26,'Data'!$E$10:$E$26,"Wages")-SUMIFS('Data'!$Q$10:$Q$26,'Data'!$E$10:$E$26,"Other opex")</f>
        <v>0</v>
      </c>
      <c r="I8" s="14"/>
      <c r="J8" s="14"/>
      <c r="K8" s="14">
        <f>SUMIFS('Data'!$Q$10:$Q$26,'Data'!$E$10:$E$26,"Revenue")-SUMIFS('Data'!$Q$10:$Q$26,'Data'!$E$10:$E$26,"Cost of sales")-SUMIFS('Data'!$Q$10:$Q$26,'Data'!$E$10:$E$26,"Wages")-SUMIFS('Data'!$Q$10:$Q$26,'Data'!$E$10:$E$26,"Other opex")-SUMIFS('Data'!$Q$10:$Q$26,'Data'!$E$10:$E$26,"D&amp;A")</f>
        <v>0</v>
      </c>
      <c r="L8" s="14"/>
      <c r="M8" s="14"/>
    </row>
    <row r="9" spans="1:15" ht="18" customHeight="1">
      <c r="B9" s="15">
        <f>IF((SUMIFS('Data'!$P$10:$P$26,'Data'!$E$10:$E$26,"Revenue"))=0,"n/a","vs prior month  "&amp;TEXT(((SUMIFS('Data'!$Q$10:$Q$26,'Data'!$E$10:$E$26,"Revenue"))-(SUMIFS('Data'!$P$10:$P$26,'Data'!$E$10:$E$26,"Revenue")))/ABS(SUMIFS('Data'!$P$10:$P$26,'Data'!$E$10:$E$26,"Revenue")),"+0.0%;-0.0%"))</f>
        <v>0</v>
      </c>
      <c r="C9" s="15"/>
      <c r="D9" s="15"/>
      <c r="E9" s="15">
        <f>IF((SUMIFS('Data'!$P$10:$P$26,'Data'!$E$10:$E$26,"Revenue")-SUMIFS('Data'!$P$10:$P$26,'Data'!$E$10:$E$26,"Cost of sales"))=0,"n/a","vs prior month  "&amp;TEXT(((SUMIFS('Data'!$Q$10:$Q$26,'Data'!$E$10:$E$26,"Revenue")-SUMIFS('Data'!$Q$10:$Q$26,'Data'!$E$10:$E$26,"Cost of sales"))-(SUMIFS('Data'!$P$10:$P$26,'Data'!$E$10:$E$26,"Revenue")-SUMIFS('Data'!$P$10:$P$26,'Data'!$E$10:$E$26,"Cost of sales")))/ABS(SUMIFS('Data'!$P$10:$P$26,'Data'!$E$10:$E$26,"Revenue")-SUMIFS('Data'!$P$10:$P$26,'Data'!$E$10:$E$26,"Cost of sales")),"+0.0%;-0.0%"))</f>
        <v>0</v>
      </c>
      <c r="F9" s="15"/>
      <c r="G9" s="15"/>
      <c r="H9" s="15">
        <f>IF((SUMIFS('Data'!$P$10:$P$26,'Data'!$E$10:$E$26,"Revenue")-SUMIFS('Data'!$P$10:$P$26,'Data'!$E$10:$E$26,"Cost of sales")-SUMIFS('Data'!$P$10:$P$26,'Data'!$E$10:$E$26,"Wages")-SUMIFS('Data'!$P$10:$P$26,'Data'!$E$10:$E$26,"Other opex"))=0,"n/a","vs prior month  "&amp;TEXT(((SUMIFS('Data'!$Q$10:$Q$26,'Data'!$E$10:$E$26,"Revenue")-SUMIFS('Data'!$Q$10:$Q$26,'Data'!$E$10:$E$26,"Cost of sales")-SUMIFS('Data'!$Q$10:$Q$26,'Data'!$E$10:$E$26,"Wages")-SUMIFS('Data'!$Q$10:$Q$26,'Data'!$E$10:$E$26,"Other opex"))-(SUMIFS('Data'!$P$10:$P$26,'Data'!$E$10:$E$26,"Revenue")-SUMIFS('Data'!$P$10:$P$26,'Data'!$E$10:$E$26,"Cost of sales")-SUMIFS('Data'!$P$10:$P$26,'Data'!$E$10:$E$26,"Wages")-SUMIFS('Data'!$P$10:$P$26,'Data'!$E$10:$E$26,"Other opex")))/ABS(SUMIFS('Data'!$P$10:$P$26,'Data'!$E$10:$E$26,"Revenue")-SUMIFS('Data'!$P$10:$P$26,'Data'!$E$10:$E$26,"Cost of sales")-SUMIFS('Data'!$P$10:$P$26,'Data'!$E$10:$E$26,"Wages")-SUMIFS('Data'!$P$10:$P$26,'Data'!$E$10:$E$26,"Other opex")),"+0.0%;-0.0%"))</f>
        <v>0</v>
      </c>
      <c r="I9" s="15"/>
      <c r="J9" s="15"/>
      <c r="K9" s="15">
        <f>IF((SUMIFS('Data'!$P$10:$P$26,'Data'!$E$10:$E$26,"Revenue")-SUMIFS('Data'!$P$10:$P$26,'Data'!$E$10:$E$26,"Cost of sales")-SUMIFS('Data'!$P$10:$P$26,'Data'!$E$10:$E$26,"Wages")-SUMIFS('Data'!$P$10:$P$26,'Data'!$E$10:$E$26,"Other opex")-SUMIFS('Data'!$P$10:$P$26,'Data'!$E$10:$E$26,"D&amp;A"))=0,"n/a","vs prior month  "&amp;TEXT(((SUMIFS('Data'!$Q$10:$Q$26,'Data'!$E$10:$E$26,"Revenue")-SUMIFS('Data'!$Q$10:$Q$26,'Data'!$E$10:$E$26,"Cost of sales")-SUMIFS('Data'!$Q$10:$Q$26,'Data'!$E$10:$E$26,"Wages")-SUMIFS('Data'!$Q$10:$Q$26,'Data'!$E$10:$E$26,"Other opex")-SUMIFS('Data'!$Q$10:$Q$26,'Data'!$E$10:$E$26,"D&amp;A"))-(SUMIFS('Data'!$P$10:$P$26,'Data'!$E$10:$E$26,"Revenue")-SUMIFS('Data'!$P$10:$P$26,'Data'!$E$10:$E$26,"Cost of sales")-SUMIFS('Data'!$P$10:$P$26,'Data'!$E$10:$E$26,"Wages")-SUMIFS('Data'!$P$10:$P$26,'Data'!$E$10:$E$26,"Other opex")-SUMIFS('Data'!$P$10:$P$26,'Data'!$E$10:$E$26,"D&amp;A")))/ABS(SUMIFS('Data'!$P$10:$P$26,'Data'!$E$10:$E$26,"Revenue")-SUMIFS('Data'!$P$10:$P$26,'Data'!$E$10:$E$26,"Cost of sales")-SUMIFS('Data'!$P$10:$P$26,'Data'!$E$10:$E$26,"Wages")-SUMIFS('Data'!$P$10:$P$26,'Data'!$E$10:$E$26,"Other opex")-SUMIFS('Data'!$P$10:$P$26,'Data'!$E$10:$E$26,"D&amp;A")),"+0.0%;-0.0%"))</f>
        <v>0</v>
      </c>
      <c r="L9" s="15"/>
      <c r="M9" s="15"/>
    </row>
    <row r="12" spans="1:15" ht="14" customHeight="1">
      <c r="B12" s="3" t="s">
        <v>47</v>
      </c>
    </row>
    <row r="13" spans="1:15" ht="26" customHeight="1">
      <c r="B13" s="16" t="s">
        <v>48</v>
      </c>
    </row>
    <row r="14" spans="1:15" ht="100" customHeight="1">
      <c r="B14" s="17" t="s">
        <v>49</v>
      </c>
      <c r="C14" s="17"/>
      <c r="D14" s="17"/>
      <c r="E14" s="17"/>
      <c r="F14" s="17"/>
      <c r="G14" s="17"/>
      <c r="H14" s="17"/>
      <c r="I14" s="17"/>
      <c r="J14" s="17"/>
      <c r="K14" s="17"/>
      <c r="L14" s="17"/>
      <c r="M14" s="17"/>
      <c r="N14" s="17"/>
    </row>
    <row r="17" spans="2:15" ht="14" customHeight="1">
      <c r="B17" s="3" t="s">
        <v>50</v>
      </c>
    </row>
    <row r="18" spans="2:15" ht="26" customHeight="1">
      <c r="B18" s="16" t="s">
        <v>51</v>
      </c>
    </row>
    <row r="19" spans="2:15" ht="26" customHeight="1">
      <c r="B19" s="18" t="s">
        <v>52</v>
      </c>
      <c r="C19" s="19" t="s">
        <v>53</v>
      </c>
      <c r="D19" s="19" t="s">
        <v>54</v>
      </c>
      <c r="E19" s="19" t="s">
        <v>55</v>
      </c>
      <c r="F19" s="19" t="s">
        <v>56</v>
      </c>
      <c r="G19" s="19" t="s">
        <v>57</v>
      </c>
      <c r="H19" s="19" t="s">
        <v>58</v>
      </c>
      <c r="I19" s="19" t="s">
        <v>59</v>
      </c>
      <c r="J19" s="19" t="s">
        <v>60</v>
      </c>
      <c r="K19" s="19" t="s">
        <v>61</v>
      </c>
      <c r="L19" s="19" t="s">
        <v>62</v>
      </c>
      <c r="M19" s="19" t="s">
        <v>63</v>
      </c>
      <c r="N19" s="19" t="s">
        <v>64</v>
      </c>
      <c r="O19" s="19" t="s">
        <v>65</v>
      </c>
    </row>
    <row r="20" spans="2:15" ht="22" customHeight="1">
      <c r="B20" s="20" t="s">
        <v>66</v>
      </c>
      <c r="C20" s="21">
        <f>SUMIFS('Data'!$F$10:$F$26,'Data'!$E$10:$E$26,"Revenue")</f>
        <v>0</v>
      </c>
      <c r="D20" s="21">
        <f>SUMIFS('Data'!$G$10:$G$26,'Data'!$E$10:$E$26,"Revenue")</f>
        <v>0</v>
      </c>
      <c r="E20" s="21">
        <f>SUMIFS('Data'!$H$10:$H$26,'Data'!$E$10:$E$26,"Revenue")</f>
        <v>0</v>
      </c>
      <c r="F20" s="21">
        <f>SUMIFS('Data'!$I$10:$I$26,'Data'!$E$10:$E$26,"Revenue")</f>
        <v>0</v>
      </c>
      <c r="G20" s="21">
        <f>SUMIFS('Data'!$J$10:$J$26,'Data'!$E$10:$E$26,"Revenue")</f>
        <v>0</v>
      </c>
      <c r="H20" s="21">
        <f>SUMIFS('Data'!$K$10:$K$26,'Data'!$E$10:$E$26,"Revenue")</f>
        <v>0</v>
      </c>
      <c r="I20" s="21">
        <f>SUMIFS('Data'!$L$10:$L$26,'Data'!$E$10:$E$26,"Revenue")</f>
        <v>0</v>
      </c>
      <c r="J20" s="21">
        <f>SUMIFS('Data'!$M$10:$M$26,'Data'!$E$10:$E$26,"Revenue")</f>
        <v>0</v>
      </c>
      <c r="K20" s="21">
        <f>SUMIFS('Data'!$N$10:$N$26,'Data'!$E$10:$E$26,"Revenue")</f>
        <v>0</v>
      </c>
      <c r="L20" s="21">
        <f>SUMIFS('Data'!$O$10:$O$26,'Data'!$E$10:$E$26,"Revenue")</f>
        <v>0</v>
      </c>
      <c r="M20" s="21">
        <f>SUMIFS('Data'!$P$10:$P$26,'Data'!$E$10:$E$26,"Revenue")</f>
        <v>0</v>
      </c>
      <c r="N20" s="21">
        <f>SUMIFS('Data'!$Q$10:$Q$26,'Data'!$E$10:$E$26,"Revenue")</f>
        <v>0</v>
      </c>
    </row>
    <row r="21" spans="2:15" ht="22" customHeight="1">
      <c r="B21" s="22" t="s">
        <v>67</v>
      </c>
      <c r="C21" s="23">
        <f>SUMIFS('Data'!$F$10:$F$26,'Data'!$E$10:$E$26,"Revenue")-SUMIFS('Data'!$F$10:$F$26,'Data'!$E$10:$E$26,"Cost of sales")</f>
        <v>0</v>
      </c>
      <c r="D21" s="23">
        <f>SUMIFS('Data'!$G$10:$G$26,'Data'!$E$10:$E$26,"Revenue")-SUMIFS('Data'!$G$10:$G$26,'Data'!$E$10:$E$26,"Cost of sales")</f>
        <v>0</v>
      </c>
      <c r="E21" s="23">
        <f>SUMIFS('Data'!$H$10:$H$26,'Data'!$E$10:$E$26,"Revenue")-SUMIFS('Data'!$H$10:$H$26,'Data'!$E$10:$E$26,"Cost of sales")</f>
        <v>0</v>
      </c>
      <c r="F21" s="23">
        <f>SUMIFS('Data'!$I$10:$I$26,'Data'!$E$10:$E$26,"Revenue")-SUMIFS('Data'!$I$10:$I$26,'Data'!$E$10:$E$26,"Cost of sales")</f>
        <v>0</v>
      </c>
      <c r="G21" s="23">
        <f>SUMIFS('Data'!$J$10:$J$26,'Data'!$E$10:$E$26,"Revenue")-SUMIFS('Data'!$J$10:$J$26,'Data'!$E$10:$E$26,"Cost of sales")</f>
        <v>0</v>
      </c>
      <c r="H21" s="23">
        <f>SUMIFS('Data'!$K$10:$K$26,'Data'!$E$10:$E$26,"Revenue")-SUMIFS('Data'!$K$10:$K$26,'Data'!$E$10:$E$26,"Cost of sales")</f>
        <v>0</v>
      </c>
      <c r="I21" s="23">
        <f>SUMIFS('Data'!$L$10:$L$26,'Data'!$E$10:$E$26,"Revenue")-SUMIFS('Data'!$L$10:$L$26,'Data'!$E$10:$E$26,"Cost of sales")</f>
        <v>0</v>
      </c>
      <c r="J21" s="23">
        <f>SUMIFS('Data'!$M$10:$M$26,'Data'!$E$10:$E$26,"Revenue")-SUMIFS('Data'!$M$10:$M$26,'Data'!$E$10:$E$26,"Cost of sales")</f>
        <v>0</v>
      </c>
      <c r="K21" s="23">
        <f>SUMIFS('Data'!$N$10:$N$26,'Data'!$E$10:$E$26,"Revenue")-SUMIFS('Data'!$N$10:$N$26,'Data'!$E$10:$E$26,"Cost of sales")</f>
        <v>0</v>
      </c>
      <c r="L21" s="23">
        <f>SUMIFS('Data'!$O$10:$O$26,'Data'!$E$10:$E$26,"Revenue")-SUMIFS('Data'!$O$10:$O$26,'Data'!$E$10:$E$26,"Cost of sales")</f>
        <v>0</v>
      </c>
      <c r="M21" s="23">
        <f>SUMIFS('Data'!$P$10:$P$26,'Data'!$E$10:$E$26,"Revenue")-SUMIFS('Data'!$P$10:$P$26,'Data'!$E$10:$E$26,"Cost of sales")</f>
        <v>0</v>
      </c>
      <c r="N21" s="23">
        <f>SUMIFS('Data'!$Q$10:$Q$26,'Data'!$E$10:$E$26,"Revenue")-SUMIFS('Data'!$Q$10:$Q$26,'Data'!$E$10:$E$26,"Cost of sales")</f>
        <v>0</v>
      </c>
    </row>
    <row r="22" spans="2:15" ht="22" customHeight="1">
      <c r="B22" s="20" t="s">
        <v>45</v>
      </c>
      <c r="C22" s="21">
        <f>SUMIFS('Data'!$F$10:$F$26,'Data'!$E$10:$E$26,"Revenue")-SUMIFS('Data'!$F$10:$F$26,'Data'!$E$10:$E$26,"Cost of sales")-SUMIFS('Data'!$F$10:$F$26,'Data'!$E$10:$E$26,"Wages")-SUMIFS('Data'!$F$10:$F$26,'Data'!$E$10:$E$26,"Other opex")</f>
        <v>0</v>
      </c>
      <c r="D22" s="21">
        <f>SUMIFS('Data'!$G$10:$G$26,'Data'!$E$10:$E$26,"Revenue")-SUMIFS('Data'!$G$10:$G$26,'Data'!$E$10:$E$26,"Cost of sales")-SUMIFS('Data'!$G$10:$G$26,'Data'!$E$10:$E$26,"Wages")-SUMIFS('Data'!$G$10:$G$26,'Data'!$E$10:$E$26,"Other opex")</f>
        <v>0</v>
      </c>
      <c r="E22" s="21">
        <f>SUMIFS('Data'!$H$10:$H$26,'Data'!$E$10:$E$26,"Revenue")-SUMIFS('Data'!$H$10:$H$26,'Data'!$E$10:$E$26,"Cost of sales")-SUMIFS('Data'!$H$10:$H$26,'Data'!$E$10:$E$26,"Wages")-SUMIFS('Data'!$H$10:$H$26,'Data'!$E$10:$E$26,"Other opex")</f>
        <v>0</v>
      </c>
      <c r="F22" s="21">
        <f>SUMIFS('Data'!$I$10:$I$26,'Data'!$E$10:$E$26,"Revenue")-SUMIFS('Data'!$I$10:$I$26,'Data'!$E$10:$E$26,"Cost of sales")-SUMIFS('Data'!$I$10:$I$26,'Data'!$E$10:$E$26,"Wages")-SUMIFS('Data'!$I$10:$I$26,'Data'!$E$10:$E$26,"Other opex")</f>
        <v>0</v>
      </c>
      <c r="G22" s="21">
        <f>SUMIFS('Data'!$J$10:$J$26,'Data'!$E$10:$E$26,"Revenue")-SUMIFS('Data'!$J$10:$J$26,'Data'!$E$10:$E$26,"Cost of sales")-SUMIFS('Data'!$J$10:$J$26,'Data'!$E$10:$E$26,"Wages")-SUMIFS('Data'!$J$10:$J$26,'Data'!$E$10:$E$26,"Other opex")</f>
        <v>0</v>
      </c>
      <c r="H22" s="21">
        <f>SUMIFS('Data'!$K$10:$K$26,'Data'!$E$10:$E$26,"Revenue")-SUMIFS('Data'!$K$10:$K$26,'Data'!$E$10:$E$26,"Cost of sales")-SUMIFS('Data'!$K$10:$K$26,'Data'!$E$10:$E$26,"Wages")-SUMIFS('Data'!$K$10:$K$26,'Data'!$E$10:$E$26,"Other opex")</f>
        <v>0</v>
      </c>
      <c r="I22" s="21">
        <f>SUMIFS('Data'!$L$10:$L$26,'Data'!$E$10:$E$26,"Revenue")-SUMIFS('Data'!$L$10:$L$26,'Data'!$E$10:$E$26,"Cost of sales")-SUMIFS('Data'!$L$10:$L$26,'Data'!$E$10:$E$26,"Wages")-SUMIFS('Data'!$L$10:$L$26,'Data'!$E$10:$E$26,"Other opex")</f>
        <v>0</v>
      </c>
      <c r="J22" s="21">
        <f>SUMIFS('Data'!$M$10:$M$26,'Data'!$E$10:$E$26,"Revenue")-SUMIFS('Data'!$M$10:$M$26,'Data'!$E$10:$E$26,"Cost of sales")-SUMIFS('Data'!$M$10:$M$26,'Data'!$E$10:$E$26,"Wages")-SUMIFS('Data'!$M$10:$M$26,'Data'!$E$10:$E$26,"Other opex")</f>
        <v>0</v>
      </c>
      <c r="K22" s="21">
        <f>SUMIFS('Data'!$N$10:$N$26,'Data'!$E$10:$E$26,"Revenue")-SUMIFS('Data'!$N$10:$N$26,'Data'!$E$10:$E$26,"Cost of sales")-SUMIFS('Data'!$N$10:$N$26,'Data'!$E$10:$E$26,"Wages")-SUMIFS('Data'!$N$10:$N$26,'Data'!$E$10:$E$26,"Other opex")</f>
        <v>0</v>
      </c>
      <c r="L22" s="21">
        <f>SUMIFS('Data'!$O$10:$O$26,'Data'!$E$10:$E$26,"Revenue")-SUMIFS('Data'!$O$10:$O$26,'Data'!$E$10:$E$26,"Cost of sales")-SUMIFS('Data'!$O$10:$O$26,'Data'!$E$10:$E$26,"Wages")-SUMIFS('Data'!$O$10:$O$26,'Data'!$E$10:$E$26,"Other opex")</f>
        <v>0</v>
      </c>
      <c r="M22" s="21">
        <f>SUMIFS('Data'!$P$10:$P$26,'Data'!$E$10:$E$26,"Revenue")-SUMIFS('Data'!$P$10:$P$26,'Data'!$E$10:$E$26,"Cost of sales")-SUMIFS('Data'!$P$10:$P$26,'Data'!$E$10:$E$26,"Wages")-SUMIFS('Data'!$P$10:$P$26,'Data'!$E$10:$E$26,"Other opex")</f>
        <v>0</v>
      </c>
      <c r="N22" s="21">
        <f>SUMIFS('Data'!$Q$10:$Q$26,'Data'!$E$10:$E$26,"Revenue")-SUMIFS('Data'!$Q$10:$Q$26,'Data'!$E$10:$E$26,"Cost of sales")-SUMIFS('Data'!$Q$10:$Q$26,'Data'!$E$10:$E$26,"Wages")-SUMIFS('Data'!$Q$10:$Q$26,'Data'!$E$10:$E$26,"Other opex")</f>
        <v>0</v>
      </c>
    </row>
    <row r="23" spans="2:15" ht="22" customHeight="1">
      <c r="B23" s="22" t="s">
        <v>68</v>
      </c>
      <c r="C23" s="23">
        <f>SUMIFS('Data'!$F$10:$F$26,'Data'!$E$10:$E$26,"Revenue")-SUMIFS('Data'!$F$10:$F$26,'Data'!$E$10:$E$26,"Cost of sales")-SUMIFS('Data'!$F$10:$F$26,'Data'!$E$10:$E$26,"Wages")-SUMIFS('Data'!$F$10:$F$26,'Data'!$E$10:$E$26,"Other opex")-SUMIFS('Data'!$F$10:$F$26,'Data'!$E$10:$E$26,"D&amp;A")</f>
        <v>0</v>
      </c>
      <c r="D23" s="23">
        <f>SUMIFS('Data'!$G$10:$G$26,'Data'!$E$10:$E$26,"Revenue")-SUMIFS('Data'!$G$10:$G$26,'Data'!$E$10:$E$26,"Cost of sales")-SUMIFS('Data'!$G$10:$G$26,'Data'!$E$10:$E$26,"Wages")-SUMIFS('Data'!$G$10:$G$26,'Data'!$E$10:$E$26,"Other opex")-SUMIFS('Data'!$G$10:$G$26,'Data'!$E$10:$E$26,"D&amp;A")</f>
        <v>0</v>
      </c>
      <c r="E23" s="23">
        <f>SUMIFS('Data'!$H$10:$H$26,'Data'!$E$10:$E$26,"Revenue")-SUMIFS('Data'!$H$10:$H$26,'Data'!$E$10:$E$26,"Cost of sales")-SUMIFS('Data'!$H$10:$H$26,'Data'!$E$10:$E$26,"Wages")-SUMIFS('Data'!$H$10:$H$26,'Data'!$E$10:$E$26,"Other opex")-SUMIFS('Data'!$H$10:$H$26,'Data'!$E$10:$E$26,"D&amp;A")</f>
        <v>0</v>
      </c>
      <c r="F23" s="23">
        <f>SUMIFS('Data'!$I$10:$I$26,'Data'!$E$10:$E$26,"Revenue")-SUMIFS('Data'!$I$10:$I$26,'Data'!$E$10:$E$26,"Cost of sales")-SUMIFS('Data'!$I$10:$I$26,'Data'!$E$10:$E$26,"Wages")-SUMIFS('Data'!$I$10:$I$26,'Data'!$E$10:$E$26,"Other opex")-SUMIFS('Data'!$I$10:$I$26,'Data'!$E$10:$E$26,"D&amp;A")</f>
        <v>0</v>
      </c>
      <c r="G23" s="23">
        <f>SUMIFS('Data'!$J$10:$J$26,'Data'!$E$10:$E$26,"Revenue")-SUMIFS('Data'!$J$10:$J$26,'Data'!$E$10:$E$26,"Cost of sales")-SUMIFS('Data'!$J$10:$J$26,'Data'!$E$10:$E$26,"Wages")-SUMIFS('Data'!$J$10:$J$26,'Data'!$E$10:$E$26,"Other opex")-SUMIFS('Data'!$J$10:$J$26,'Data'!$E$10:$E$26,"D&amp;A")</f>
        <v>0</v>
      </c>
      <c r="H23" s="23">
        <f>SUMIFS('Data'!$K$10:$K$26,'Data'!$E$10:$E$26,"Revenue")-SUMIFS('Data'!$K$10:$K$26,'Data'!$E$10:$E$26,"Cost of sales")-SUMIFS('Data'!$K$10:$K$26,'Data'!$E$10:$E$26,"Wages")-SUMIFS('Data'!$K$10:$K$26,'Data'!$E$10:$E$26,"Other opex")-SUMIFS('Data'!$K$10:$K$26,'Data'!$E$10:$E$26,"D&amp;A")</f>
        <v>0</v>
      </c>
      <c r="I23" s="23">
        <f>SUMIFS('Data'!$L$10:$L$26,'Data'!$E$10:$E$26,"Revenue")-SUMIFS('Data'!$L$10:$L$26,'Data'!$E$10:$E$26,"Cost of sales")-SUMIFS('Data'!$L$10:$L$26,'Data'!$E$10:$E$26,"Wages")-SUMIFS('Data'!$L$10:$L$26,'Data'!$E$10:$E$26,"Other opex")-SUMIFS('Data'!$L$10:$L$26,'Data'!$E$10:$E$26,"D&amp;A")</f>
        <v>0</v>
      </c>
      <c r="J23" s="23">
        <f>SUMIFS('Data'!$M$10:$M$26,'Data'!$E$10:$E$26,"Revenue")-SUMIFS('Data'!$M$10:$M$26,'Data'!$E$10:$E$26,"Cost of sales")-SUMIFS('Data'!$M$10:$M$26,'Data'!$E$10:$E$26,"Wages")-SUMIFS('Data'!$M$10:$M$26,'Data'!$E$10:$E$26,"Other opex")-SUMIFS('Data'!$M$10:$M$26,'Data'!$E$10:$E$26,"D&amp;A")</f>
        <v>0</v>
      </c>
      <c r="K23" s="23">
        <f>SUMIFS('Data'!$N$10:$N$26,'Data'!$E$10:$E$26,"Revenue")-SUMIFS('Data'!$N$10:$N$26,'Data'!$E$10:$E$26,"Cost of sales")-SUMIFS('Data'!$N$10:$N$26,'Data'!$E$10:$E$26,"Wages")-SUMIFS('Data'!$N$10:$N$26,'Data'!$E$10:$E$26,"Other opex")-SUMIFS('Data'!$N$10:$N$26,'Data'!$E$10:$E$26,"D&amp;A")</f>
        <v>0</v>
      </c>
      <c r="L23" s="23">
        <f>SUMIFS('Data'!$O$10:$O$26,'Data'!$E$10:$E$26,"Revenue")-SUMIFS('Data'!$O$10:$O$26,'Data'!$E$10:$E$26,"Cost of sales")-SUMIFS('Data'!$O$10:$O$26,'Data'!$E$10:$E$26,"Wages")-SUMIFS('Data'!$O$10:$O$26,'Data'!$E$10:$E$26,"Other opex")-SUMIFS('Data'!$O$10:$O$26,'Data'!$E$10:$E$26,"D&amp;A")</f>
        <v>0</v>
      </c>
      <c r="M23" s="23">
        <f>SUMIFS('Data'!$P$10:$P$26,'Data'!$E$10:$E$26,"Revenue")-SUMIFS('Data'!$P$10:$P$26,'Data'!$E$10:$E$26,"Cost of sales")-SUMIFS('Data'!$P$10:$P$26,'Data'!$E$10:$E$26,"Wages")-SUMIFS('Data'!$P$10:$P$26,'Data'!$E$10:$E$26,"Other opex")-SUMIFS('Data'!$P$10:$P$26,'Data'!$E$10:$E$26,"D&amp;A")</f>
        <v>0</v>
      </c>
      <c r="N23" s="23">
        <f>SUMIFS('Data'!$Q$10:$Q$26,'Data'!$E$10:$E$26,"Revenue")-SUMIFS('Data'!$Q$10:$Q$26,'Data'!$E$10:$E$26,"Cost of sales")-SUMIFS('Data'!$Q$10:$Q$26,'Data'!$E$10:$E$26,"Wages")-SUMIFS('Data'!$Q$10:$Q$26,'Data'!$E$10:$E$26,"Other opex")-SUMIFS('Data'!$Q$10:$Q$26,'Data'!$E$10:$E$26,"D&amp;A")</f>
        <v>0</v>
      </c>
    </row>
    <row r="26" spans="2:15" ht="14" customHeight="1">
      <c r="B26" s="3" t="s">
        <v>69</v>
      </c>
    </row>
    <row r="27" spans="2:15" ht="26" customHeight="1">
      <c r="B27" s="16" t="s">
        <v>70</v>
      </c>
    </row>
    <row r="28" spans="2:15" ht="26" customHeight="1">
      <c r="B28" s="18" t="s">
        <v>71</v>
      </c>
      <c r="C28" s="19" t="s">
        <v>72</v>
      </c>
      <c r="D28" s="19" t="s">
        <v>73</v>
      </c>
      <c r="E28" s="19" t="s">
        <v>74</v>
      </c>
      <c r="F28" s="19" t="s">
        <v>75</v>
      </c>
    </row>
    <row r="29" spans="2:15" ht="22" customHeight="1">
      <c r="B29" s="20" t="s">
        <v>76</v>
      </c>
      <c r="C29" s="21">
        <f>SUM(C20:N20)</f>
        <v>0</v>
      </c>
      <c r="D29" s="21">
        <f>SUMIFS('Data'!$R$10:$R$26,'Data'!$E$10:$E$26,"Revenue")</f>
        <v>0</v>
      </c>
      <c r="E29" s="21">
        <f>C29-D29</f>
        <v>0</v>
      </c>
      <c r="F29" s="24">
        <f>IF(ABS(C29-D29)&lt;0.5,"OK","FLAG")</f>
        <v>0</v>
      </c>
    </row>
    <row r="30" spans="2:15" ht="22" customHeight="1">
      <c r="B30" s="22" t="s">
        <v>77</v>
      </c>
      <c r="C30" s="23">
        <f>SUM(C23:N23)</f>
        <v>0</v>
      </c>
      <c r="D30" s="23">
        <f>SUMIFS('Data'!$R$10:$R$26,'Data'!$E$10:$E$26,"Revenue")-SUMIFS('Data'!$R$10:$R$26,'Data'!$E$10:$E$26,"Cost of sales")-SUMIFS('Data'!$R$10:$R$26,'Data'!$E$10:$E$26,"Wages")-SUMIFS('Data'!$R$10:$R$26,'Data'!$E$10:$E$26,"Other opex")-SUMIFS('Data'!$R$10:$R$26,'Data'!$E$10:$E$26,"D&amp;A")</f>
        <v>0</v>
      </c>
      <c r="E30" s="23">
        <f>C30-D30</f>
        <v>0</v>
      </c>
      <c r="F30" s="24">
        <f>IF(ABS(C30-D30)&lt;0.5,"OK","FLAG")</f>
        <v>0</v>
      </c>
    </row>
  </sheetData>
  <mergeCells count="16">
    <mergeCell ref="B2:M2"/>
    <mergeCell ref="B3:M3"/>
    <mergeCell ref="B5:N5"/>
    <mergeCell ref="B7:D7"/>
    <mergeCell ref="B8:D8"/>
    <mergeCell ref="B9:D9"/>
    <mergeCell ref="E7:G7"/>
    <mergeCell ref="E8:G8"/>
    <mergeCell ref="E9:G9"/>
    <mergeCell ref="H7:J7"/>
    <mergeCell ref="H8:J8"/>
    <mergeCell ref="H9:J9"/>
    <mergeCell ref="K7:M7"/>
    <mergeCell ref="K8:M8"/>
    <mergeCell ref="K9:M9"/>
    <mergeCell ref="B14:N14"/>
  </mergeCells>
  <conditionalFormatting sqref="F29:F30">
    <cfRule type="containsText" dxfId="0" priority="1" operator="containsText" text="OK">
      <formula>NOT(ISERROR(SEARCH("OK",F29)))</formula>
    </cfRule>
    <cfRule type="containsText" dxfId="1" priority="2" operator="containsText" text="FLAG">
      <formula>NOT(ISERROR(SEARCH("FLAG",F29)))</formula>
    </cfRule>
  </conditionalFormatting>
  <printOptions horizontalCentered="1"/>
  <pageMargins left="0.4" right="0.4" top="0.5" bottom="0.6" header="0.2" footer="0.3"/>
  <pageSetup paperSize="9" fitToHeight="0" orientation="landscape"/>
  <headerFooter>
    <oddHeader>&amp;L&amp;"Arial"&amp;8&amp;K707070Lyros Accounting&amp;C&amp;"Arial"&amp;8&amp;K707070Headline&amp;R&amp;"Arial"&amp;8&amp;K707070Page &amp;P of &amp;N</oddHeader>
    <oddFooter>&amp;L&amp;"Arial"&amp;8&amp;K707070lyros.com.au&amp;C&amp;"Arial"&amp;8&amp;K2D7A55Book a 15-min call: bookings.cloud.microsoft/book/LyrosAccounting&amp;R&amp;"Arial"&amp;8&amp;K707070&amp;D</oddFooter>
  </headerFooter>
  <drawing r:id="rId1"/>
  <extLst>
    <ext xmlns:x14="http://schemas.microsoft.com/office/spreadsheetml/2009/9/main" uri="{05C60535-1F16-4fd2-B633-F4F36F0B64E0}">
      <x14:sparklineGroups xmlns:xm="http://schemas.microsoft.com/office/excel/2006/main">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'Headline'!C23:N23</xm:f>
              <xm:sqref>O23</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'Headline'!C22:N22</xm:f>
              <xm:sqref>O22</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'Headline'!C21:N21</xm:f>
              <xm:sqref>O21</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'Headline'!C20:N20</xm:f>
              <xm:sqref>O20</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sheetPr>
    <tabColor rgb="FF3A9E6E"/>
    <pageSetUpPr fitToPage="1"/>
  </sheetPr>
  <dimension ref="A1:S25"/>
  <sheetViews>
    <sheetView showGridLines="0" workbookViewId="0"/>
  </sheetViews>
  <sheetFormatPr defaultRowHeight="15"/>
  <cols>
    <col min="1" max="1" width="2.7109375" customWidth="1"/>
    <col min="2" max="2" width="26.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78</v>
      </c>
      <c r="C2" s="11"/>
      <c r="D2" s="11"/>
      <c r="E2" s="11"/>
      <c r="F2" s="11"/>
      <c r="G2" s="11"/>
      <c r="H2" s="11"/>
      <c r="I2" s="11"/>
      <c r="J2" s="11"/>
      <c r="K2" s="11"/>
      <c r="L2" s="11"/>
      <c r="M2" s="11"/>
      <c r="N2" s="11"/>
      <c r="O2" s="11"/>
      <c r="P2" s="11"/>
      <c r="Q2" s="11"/>
      <c r="R2" s="1"/>
      <c r="S2" s="1"/>
    </row>
    <row r="3" spans="1:19" ht="26" customHeight="1">
      <c r="A3" s="1"/>
      <c r="B3" s="12" t="s">
        <v>25</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79</v>
      </c>
      <c r="C5" s="6"/>
      <c r="D5" s="6"/>
      <c r="E5" s="6"/>
      <c r="F5" s="6"/>
      <c r="G5" s="6"/>
      <c r="H5" s="6"/>
      <c r="I5" s="6"/>
      <c r="J5" s="6"/>
      <c r="K5" s="6"/>
      <c r="L5" s="6"/>
      <c r="M5" s="6"/>
      <c r="N5" s="6"/>
      <c r="O5" s="6"/>
      <c r="P5" s="6"/>
      <c r="Q5" s="6"/>
      <c r="R5" s="6"/>
    </row>
    <row r="7" spans="1:19" ht="14" customHeight="1">
      <c r="B7" s="3" t="s">
        <v>80</v>
      </c>
    </row>
    <row r="8" spans="1:19" ht="26" customHeight="1">
      <c r="B8" s="16" t="s">
        <v>81</v>
      </c>
    </row>
    <row r="9" spans="1:19" ht="26" customHeight="1">
      <c r="B9" s="18" t="s">
        <v>82</v>
      </c>
      <c r="C9" s="19" t="s">
        <v>53</v>
      </c>
      <c r="D9" s="19" t="s">
        <v>54</v>
      </c>
      <c r="E9" s="19" t="s">
        <v>55</v>
      </c>
      <c r="F9" s="19" t="s">
        <v>56</v>
      </c>
      <c r="G9" s="19" t="s">
        <v>57</v>
      </c>
      <c r="H9" s="19" t="s">
        <v>58</v>
      </c>
      <c r="I9" s="19" t="s">
        <v>59</v>
      </c>
      <c r="J9" s="19" t="s">
        <v>60</v>
      </c>
      <c r="K9" s="19" t="s">
        <v>61</v>
      </c>
      <c r="L9" s="19" t="s">
        <v>62</v>
      </c>
      <c r="M9" s="19" t="s">
        <v>63</v>
      </c>
      <c r="N9" s="19" t="s">
        <v>64</v>
      </c>
      <c r="O9" s="19" t="s">
        <v>83</v>
      </c>
    </row>
    <row r="10" spans="1:19" ht="20" customHeight="1">
      <c r="B10" s="22" t="s">
        <v>66</v>
      </c>
      <c r="C10" s="23">
        <f>SUMIFS('Data'!$F$10:$F$26,'Data'!$E$10:$E$26,"Revenue")</f>
        <v>0</v>
      </c>
      <c r="D10" s="23">
        <f>SUMIFS('Data'!$G$10:$G$26,'Data'!$E$10:$E$26,"Revenue")</f>
        <v>0</v>
      </c>
      <c r="E10" s="23">
        <f>SUMIFS('Data'!$H$10:$H$26,'Data'!$E$10:$E$26,"Revenue")</f>
        <v>0</v>
      </c>
      <c r="F10" s="23">
        <f>SUMIFS('Data'!$I$10:$I$26,'Data'!$E$10:$E$26,"Revenue")</f>
        <v>0</v>
      </c>
      <c r="G10" s="23">
        <f>SUMIFS('Data'!$J$10:$J$26,'Data'!$E$10:$E$26,"Revenue")</f>
        <v>0</v>
      </c>
      <c r="H10" s="23">
        <f>SUMIFS('Data'!$K$10:$K$26,'Data'!$E$10:$E$26,"Revenue")</f>
        <v>0</v>
      </c>
      <c r="I10" s="23">
        <f>SUMIFS('Data'!$L$10:$L$26,'Data'!$E$10:$E$26,"Revenue")</f>
        <v>0</v>
      </c>
      <c r="J10" s="23">
        <f>SUMIFS('Data'!$M$10:$M$26,'Data'!$E$10:$E$26,"Revenue")</f>
        <v>0</v>
      </c>
      <c r="K10" s="23">
        <f>SUMIFS('Data'!$N$10:$N$26,'Data'!$E$10:$E$26,"Revenue")</f>
        <v>0</v>
      </c>
      <c r="L10" s="23">
        <f>SUMIFS('Data'!$O$10:$O$26,'Data'!$E$10:$E$26,"Revenue")</f>
        <v>0</v>
      </c>
      <c r="M10" s="23">
        <f>SUMIFS('Data'!$P$10:$P$26,'Data'!$E$10:$E$26,"Revenue")</f>
        <v>0</v>
      </c>
      <c r="N10" s="23">
        <f>SUMIFS('Data'!$Q$10:$Q$26,'Data'!$E$10:$E$26,"Revenue")</f>
        <v>0</v>
      </c>
      <c r="O10" s="23">
        <f>SUMIFS('Data'!$R$10:$R$26,'Data'!$E$10:$E$26,"Revenue")</f>
        <v>0</v>
      </c>
    </row>
    <row r="11" spans="1:19" ht="20" customHeight="1">
      <c r="B11" s="20" t="s">
        <v>84</v>
      </c>
      <c r="C11" s="21">
        <f>-SUMIFS('Data'!$F$10:$F$26,'Data'!$E$10:$E$26,"Cost of sales")</f>
        <v>0</v>
      </c>
      <c r="D11" s="21">
        <f>-SUMIFS('Data'!$G$10:$G$26,'Data'!$E$10:$E$26,"Cost of sales")</f>
        <v>0</v>
      </c>
      <c r="E11" s="21">
        <f>-SUMIFS('Data'!$H$10:$H$26,'Data'!$E$10:$E$26,"Cost of sales")</f>
        <v>0</v>
      </c>
      <c r="F11" s="21">
        <f>-SUMIFS('Data'!$I$10:$I$26,'Data'!$E$10:$E$26,"Cost of sales")</f>
        <v>0</v>
      </c>
      <c r="G11" s="21">
        <f>-SUMIFS('Data'!$J$10:$J$26,'Data'!$E$10:$E$26,"Cost of sales")</f>
        <v>0</v>
      </c>
      <c r="H11" s="21">
        <f>-SUMIFS('Data'!$K$10:$K$26,'Data'!$E$10:$E$26,"Cost of sales")</f>
        <v>0</v>
      </c>
      <c r="I11" s="21">
        <f>-SUMIFS('Data'!$L$10:$L$26,'Data'!$E$10:$E$26,"Cost of sales")</f>
        <v>0</v>
      </c>
      <c r="J11" s="21">
        <f>-SUMIFS('Data'!$M$10:$M$26,'Data'!$E$10:$E$26,"Cost of sales")</f>
        <v>0</v>
      </c>
      <c r="K11" s="21">
        <f>-SUMIFS('Data'!$N$10:$N$26,'Data'!$E$10:$E$26,"Cost of sales")</f>
        <v>0</v>
      </c>
      <c r="L11" s="21">
        <f>-SUMIFS('Data'!$O$10:$O$26,'Data'!$E$10:$E$26,"Cost of sales")</f>
        <v>0</v>
      </c>
      <c r="M11" s="21">
        <f>-SUMIFS('Data'!$P$10:$P$26,'Data'!$E$10:$E$26,"Cost of sales")</f>
        <v>0</v>
      </c>
      <c r="N11" s="21">
        <f>-SUMIFS('Data'!$Q$10:$Q$26,'Data'!$E$10:$E$26,"Cost of sales")</f>
        <v>0</v>
      </c>
      <c r="O11" s="21">
        <f>-SUMIFS('Data'!$R$10:$R$26,'Data'!$E$10:$E$26,"Cost of sales")</f>
        <v>0</v>
      </c>
    </row>
    <row r="12" spans="1:19" ht="20" customHeight="1">
      <c r="B12" s="25" t="s">
        <v>67</v>
      </c>
      <c r="C12" s="26">
        <f>SUMIFS('Data'!$F$10:$F$26,'Data'!$E$10:$E$26,"Revenue")-SUMIFS('Data'!$F$10:$F$26,'Data'!$E$10:$E$26,"Cost of sales")</f>
        <v>0</v>
      </c>
      <c r="D12" s="26">
        <f>SUMIFS('Data'!$G$10:$G$26,'Data'!$E$10:$E$26,"Revenue")-SUMIFS('Data'!$G$10:$G$26,'Data'!$E$10:$E$26,"Cost of sales")</f>
        <v>0</v>
      </c>
      <c r="E12" s="26">
        <f>SUMIFS('Data'!$H$10:$H$26,'Data'!$E$10:$E$26,"Revenue")-SUMIFS('Data'!$H$10:$H$26,'Data'!$E$10:$E$26,"Cost of sales")</f>
        <v>0</v>
      </c>
      <c r="F12" s="26">
        <f>SUMIFS('Data'!$I$10:$I$26,'Data'!$E$10:$E$26,"Revenue")-SUMIFS('Data'!$I$10:$I$26,'Data'!$E$10:$E$26,"Cost of sales")</f>
        <v>0</v>
      </c>
      <c r="G12" s="26">
        <f>SUMIFS('Data'!$J$10:$J$26,'Data'!$E$10:$E$26,"Revenue")-SUMIFS('Data'!$J$10:$J$26,'Data'!$E$10:$E$26,"Cost of sales")</f>
        <v>0</v>
      </c>
      <c r="H12" s="26">
        <f>SUMIFS('Data'!$K$10:$K$26,'Data'!$E$10:$E$26,"Revenue")-SUMIFS('Data'!$K$10:$K$26,'Data'!$E$10:$E$26,"Cost of sales")</f>
        <v>0</v>
      </c>
      <c r="I12" s="26">
        <f>SUMIFS('Data'!$L$10:$L$26,'Data'!$E$10:$E$26,"Revenue")-SUMIFS('Data'!$L$10:$L$26,'Data'!$E$10:$E$26,"Cost of sales")</f>
        <v>0</v>
      </c>
      <c r="J12" s="26">
        <f>SUMIFS('Data'!$M$10:$M$26,'Data'!$E$10:$E$26,"Revenue")-SUMIFS('Data'!$M$10:$M$26,'Data'!$E$10:$E$26,"Cost of sales")</f>
        <v>0</v>
      </c>
      <c r="K12" s="26">
        <f>SUMIFS('Data'!$N$10:$N$26,'Data'!$E$10:$E$26,"Revenue")-SUMIFS('Data'!$N$10:$N$26,'Data'!$E$10:$E$26,"Cost of sales")</f>
        <v>0</v>
      </c>
      <c r="L12" s="26">
        <f>SUMIFS('Data'!$O$10:$O$26,'Data'!$E$10:$E$26,"Revenue")-SUMIFS('Data'!$O$10:$O$26,'Data'!$E$10:$E$26,"Cost of sales")</f>
        <v>0</v>
      </c>
      <c r="M12" s="26">
        <f>SUMIFS('Data'!$P$10:$P$26,'Data'!$E$10:$E$26,"Revenue")-SUMIFS('Data'!$P$10:$P$26,'Data'!$E$10:$E$26,"Cost of sales")</f>
        <v>0</v>
      </c>
      <c r="N12" s="26">
        <f>SUMIFS('Data'!$Q$10:$Q$26,'Data'!$E$10:$E$26,"Revenue")-SUMIFS('Data'!$Q$10:$Q$26,'Data'!$E$10:$E$26,"Cost of sales")</f>
        <v>0</v>
      </c>
      <c r="O12" s="26">
        <f>SUMIFS('Data'!$R$10:$R$26,'Data'!$E$10:$E$26,"Revenue")-SUMIFS('Data'!$R$10:$R$26,'Data'!$E$10:$E$26,"Cost of sales")</f>
        <v>0</v>
      </c>
    </row>
    <row r="13" spans="1:19" ht="20" customHeight="1">
      <c r="B13" s="20" t="s">
        <v>85</v>
      </c>
      <c r="C13" s="27">
        <f>IFERROR((SUMIFS('Data'!$F$10:$F$26,'Data'!$E$10:$E$26,"Revenue")-SUMIFS('Data'!$F$10:$F$26,'Data'!$E$10:$E$26,"Cost of sales"))/(SUMIFS('Data'!$F$10:$F$26,'Data'!$E$10:$E$26,"Revenue")),0)</f>
        <v>0</v>
      </c>
      <c r="D13" s="27">
        <f>IFERROR((SUMIFS('Data'!$G$10:$G$26,'Data'!$E$10:$E$26,"Revenue")-SUMIFS('Data'!$G$10:$G$26,'Data'!$E$10:$E$26,"Cost of sales"))/(SUMIFS('Data'!$G$10:$G$26,'Data'!$E$10:$E$26,"Revenue")),0)</f>
        <v>0</v>
      </c>
      <c r="E13" s="27">
        <f>IFERROR((SUMIFS('Data'!$H$10:$H$26,'Data'!$E$10:$E$26,"Revenue")-SUMIFS('Data'!$H$10:$H$26,'Data'!$E$10:$E$26,"Cost of sales"))/(SUMIFS('Data'!$H$10:$H$26,'Data'!$E$10:$E$26,"Revenue")),0)</f>
        <v>0</v>
      </c>
      <c r="F13" s="27">
        <f>IFERROR((SUMIFS('Data'!$I$10:$I$26,'Data'!$E$10:$E$26,"Revenue")-SUMIFS('Data'!$I$10:$I$26,'Data'!$E$10:$E$26,"Cost of sales"))/(SUMIFS('Data'!$I$10:$I$26,'Data'!$E$10:$E$26,"Revenue")),0)</f>
        <v>0</v>
      </c>
      <c r="G13" s="27">
        <f>IFERROR((SUMIFS('Data'!$J$10:$J$26,'Data'!$E$10:$E$26,"Revenue")-SUMIFS('Data'!$J$10:$J$26,'Data'!$E$10:$E$26,"Cost of sales"))/(SUMIFS('Data'!$J$10:$J$26,'Data'!$E$10:$E$26,"Revenue")),0)</f>
        <v>0</v>
      </c>
      <c r="H13" s="27">
        <f>IFERROR((SUMIFS('Data'!$K$10:$K$26,'Data'!$E$10:$E$26,"Revenue")-SUMIFS('Data'!$K$10:$K$26,'Data'!$E$10:$E$26,"Cost of sales"))/(SUMIFS('Data'!$K$10:$K$26,'Data'!$E$10:$E$26,"Revenue")),0)</f>
        <v>0</v>
      </c>
      <c r="I13" s="27">
        <f>IFERROR((SUMIFS('Data'!$L$10:$L$26,'Data'!$E$10:$E$26,"Revenue")-SUMIFS('Data'!$L$10:$L$26,'Data'!$E$10:$E$26,"Cost of sales"))/(SUMIFS('Data'!$L$10:$L$26,'Data'!$E$10:$E$26,"Revenue")),0)</f>
        <v>0</v>
      </c>
      <c r="J13" s="27">
        <f>IFERROR((SUMIFS('Data'!$M$10:$M$26,'Data'!$E$10:$E$26,"Revenue")-SUMIFS('Data'!$M$10:$M$26,'Data'!$E$10:$E$26,"Cost of sales"))/(SUMIFS('Data'!$M$10:$M$26,'Data'!$E$10:$E$26,"Revenue")),0)</f>
        <v>0</v>
      </c>
      <c r="K13" s="27">
        <f>IFERROR((SUMIFS('Data'!$N$10:$N$26,'Data'!$E$10:$E$26,"Revenue")-SUMIFS('Data'!$N$10:$N$26,'Data'!$E$10:$E$26,"Cost of sales"))/(SUMIFS('Data'!$N$10:$N$26,'Data'!$E$10:$E$26,"Revenue")),0)</f>
        <v>0</v>
      </c>
      <c r="L13" s="27">
        <f>IFERROR((SUMIFS('Data'!$O$10:$O$26,'Data'!$E$10:$E$26,"Revenue")-SUMIFS('Data'!$O$10:$O$26,'Data'!$E$10:$E$26,"Cost of sales"))/(SUMIFS('Data'!$O$10:$O$26,'Data'!$E$10:$E$26,"Revenue")),0)</f>
        <v>0</v>
      </c>
      <c r="M13" s="27">
        <f>IFERROR((SUMIFS('Data'!$P$10:$P$26,'Data'!$E$10:$E$26,"Revenue")-SUMIFS('Data'!$P$10:$P$26,'Data'!$E$10:$E$26,"Cost of sales"))/(SUMIFS('Data'!$P$10:$P$26,'Data'!$E$10:$E$26,"Revenue")),0)</f>
        <v>0</v>
      </c>
      <c r="N13" s="27">
        <f>IFERROR((SUMIFS('Data'!$Q$10:$Q$26,'Data'!$E$10:$E$26,"Revenue")-SUMIFS('Data'!$Q$10:$Q$26,'Data'!$E$10:$E$26,"Cost of sales"))/(SUMIFS('Data'!$Q$10:$Q$26,'Data'!$E$10:$E$26,"Revenue")),0)</f>
        <v>0</v>
      </c>
      <c r="O13" s="27">
        <f>IFERROR((SUMIFS('Data'!$R$10:$R$26,'Data'!$E$10:$E$26,"Revenue")-SUMIFS('Data'!$R$10:$R$26,'Data'!$E$10:$E$26,"Cost of sales"))/(SUMIFS('Data'!$R$10:$R$26,'Data'!$E$10:$E$26,"Revenue")),0)</f>
        <v>0</v>
      </c>
    </row>
    <row r="14" spans="1:19" ht="20" customHeight="1">
      <c r="B14" s="22" t="s">
        <v>86</v>
      </c>
      <c r="C14" s="23">
        <f>-SUMIFS('Data'!$F$10:$F$26,'Data'!$E$10:$E$26,"Wages")</f>
        <v>0</v>
      </c>
      <c r="D14" s="23">
        <f>-SUMIFS('Data'!$G$10:$G$26,'Data'!$E$10:$E$26,"Wages")</f>
        <v>0</v>
      </c>
      <c r="E14" s="23">
        <f>-SUMIFS('Data'!$H$10:$H$26,'Data'!$E$10:$E$26,"Wages")</f>
        <v>0</v>
      </c>
      <c r="F14" s="23">
        <f>-SUMIFS('Data'!$I$10:$I$26,'Data'!$E$10:$E$26,"Wages")</f>
        <v>0</v>
      </c>
      <c r="G14" s="23">
        <f>-SUMIFS('Data'!$J$10:$J$26,'Data'!$E$10:$E$26,"Wages")</f>
        <v>0</v>
      </c>
      <c r="H14" s="23">
        <f>-SUMIFS('Data'!$K$10:$K$26,'Data'!$E$10:$E$26,"Wages")</f>
        <v>0</v>
      </c>
      <c r="I14" s="23">
        <f>-SUMIFS('Data'!$L$10:$L$26,'Data'!$E$10:$E$26,"Wages")</f>
        <v>0</v>
      </c>
      <c r="J14" s="23">
        <f>-SUMIFS('Data'!$M$10:$M$26,'Data'!$E$10:$E$26,"Wages")</f>
        <v>0</v>
      </c>
      <c r="K14" s="23">
        <f>-SUMIFS('Data'!$N$10:$N$26,'Data'!$E$10:$E$26,"Wages")</f>
        <v>0</v>
      </c>
      <c r="L14" s="23">
        <f>-SUMIFS('Data'!$O$10:$O$26,'Data'!$E$10:$E$26,"Wages")</f>
        <v>0</v>
      </c>
      <c r="M14" s="23">
        <f>-SUMIFS('Data'!$P$10:$P$26,'Data'!$E$10:$E$26,"Wages")</f>
        <v>0</v>
      </c>
      <c r="N14" s="23">
        <f>-SUMIFS('Data'!$Q$10:$Q$26,'Data'!$E$10:$E$26,"Wages")</f>
        <v>0</v>
      </c>
      <c r="O14" s="23">
        <f>-SUMIFS('Data'!$R$10:$R$26,'Data'!$E$10:$E$26,"Wages")</f>
        <v>0</v>
      </c>
    </row>
    <row r="15" spans="1:19" ht="20" customHeight="1">
      <c r="B15" s="20" t="s">
        <v>87</v>
      </c>
      <c r="C15" s="21">
        <f>-SUMIFS('Data'!$F$10:$F$26,'Data'!$E$10:$E$26,"Other opex")</f>
        <v>0</v>
      </c>
      <c r="D15" s="21">
        <f>-SUMIFS('Data'!$G$10:$G$26,'Data'!$E$10:$E$26,"Other opex")</f>
        <v>0</v>
      </c>
      <c r="E15" s="21">
        <f>-SUMIFS('Data'!$H$10:$H$26,'Data'!$E$10:$E$26,"Other opex")</f>
        <v>0</v>
      </c>
      <c r="F15" s="21">
        <f>-SUMIFS('Data'!$I$10:$I$26,'Data'!$E$10:$E$26,"Other opex")</f>
        <v>0</v>
      </c>
      <c r="G15" s="21">
        <f>-SUMIFS('Data'!$J$10:$J$26,'Data'!$E$10:$E$26,"Other opex")</f>
        <v>0</v>
      </c>
      <c r="H15" s="21">
        <f>-SUMIFS('Data'!$K$10:$K$26,'Data'!$E$10:$E$26,"Other opex")</f>
        <v>0</v>
      </c>
      <c r="I15" s="21">
        <f>-SUMIFS('Data'!$L$10:$L$26,'Data'!$E$10:$E$26,"Other opex")</f>
        <v>0</v>
      </c>
      <c r="J15" s="21">
        <f>-SUMIFS('Data'!$M$10:$M$26,'Data'!$E$10:$E$26,"Other opex")</f>
        <v>0</v>
      </c>
      <c r="K15" s="21">
        <f>-SUMIFS('Data'!$N$10:$N$26,'Data'!$E$10:$E$26,"Other opex")</f>
        <v>0</v>
      </c>
      <c r="L15" s="21">
        <f>-SUMIFS('Data'!$O$10:$O$26,'Data'!$E$10:$E$26,"Other opex")</f>
        <v>0</v>
      </c>
      <c r="M15" s="21">
        <f>-SUMIFS('Data'!$P$10:$P$26,'Data'!$E$10:$E$26,"Other opex")</f>
        <v>0</v>
      </c>
      <c r="N15" s="21">
        <f>-SUMIFS('Data'!$Q$10:$Q$26,'Data'!$E$10:$E$26,"Other opex")</f>
        <v>0</v>
      </c>
      <c r="O15" s="21">
        <f>-SUMIFS('Data'!$R$10:$R$26,'Data'!$E$10:$E$26,"Other opex")</f>
        <v>0</v>
      </c>
    </row>
    <row r="16" spans="1:19" ht="20" customHeight="1">
      <c r="B16" s="25" t="s">
        <v>45</v>
      </c>
      <c r="C16" s="26">
        <f>SUMIFS('Data'!$F$10:$F$26,'Data'!$E$10:$E$26,"Revenue")-SUMIFS('Data'!$F$10:$F$26,'Data'!$E$10:$E$26,"Cost of sales")-SUMIFS('Data'!$F$10:$F$26,'Data'!$E$10:$E$26,"Wages")-SUMIFS('Data'!$F$10:$F$26,'Data'!$E$10:$E$26,"Other opex")</f>
        <v>0</v>
      </c>
      <c r="D16" s="26">
        <f>SUMIFS('Data'!$G$10:$G$26,'Data'!$E$10:$E$26,"Revenue")-SUMIFS('Data'!$G$10:$G$26,'Data'!$E$10:$E$26,"Cost of sales")-SUMIFS('Data'!$G$10:$G$26,'Data'!$E$10:$E$26,"Wages")-SUMIFS('Data'!$G$10:$G$26,'Data'!$E$10:$E$26,"Other opex")</f>
        <v>0</v>
      </c>
      <c r="E16" s="26">
        <f>SUMIFS('Data'!$H$10:$H$26,'Data'!$E$10:$E$26,"Revenue")-SUMIFS('Data'!$H$10:$H$26,'Data'!$E$10:$E$26,"Cost of sales")-SUMIFS('Data'!$H$10:$H$26,'Data'!$E$10:$E$26,"Wages")-SUMIFS('Data'!$H$10:$H$26,'Data'!$E$10:$E$26,"Other opex")</f>
        <v>0</v>
      </c>
      <c r="F16" s="26">
        <f>SUMIFS('Data'!$I$10:$I$26,'Data'!$E$10:$E$26,"Revenue")-SUMIFS('Data'!$I$10:$I$26,'Data'!$E$10:$E$26,"Cost of sales")-SUMIFS('Data'!$I$10:$I$26,'Data'!$E$10:$E$26,"Wages")-SUMIFS('Data'!$I$10:$I$26,'Data'!$E$10:$E$26,"Other opex")</f>
        <v>0</v>
      </c>
      <c r="G16" s="26">
        <f>SUMIFS('Data'!$J$10:$J$26,'Data'!$E$10:$E$26,"Revenue")-SUMIFS('Data'!$J$10:$J$26,'Data'!$E$10:$E$26,"Cost of sales")-SUMIFS('Data'!$J$10:$J$26,'Data'!$E$10:$E$26,"Wages")-SUMIFS('Data'!$J$10:$J$26,'Data'!$E$10:$E$26,"Other opex")</f>
        <v>0</v>
      </c>
      <c r="H16" s="26">
        <f>SUMIFS('Data'!$K$10:$K$26,'Data'!$E$10:$E$26,"Revenue")-SUMIFS('Data'!$K$10:$K$26,'Data'!$E$10:$E$26,"Cost of sales")-SUMIFS('Data'!$K$10:$K$26,'Data'!$E$10:$E$26,"Wages")-SUMIFS('Data'!$K$10:$K$26,'Data'!$E$10:$E$26,"Other opex")</f>
        <v>0</v>
      </c>
      <c r="I16" s="26">
        <f>SUMIFS('Data'!$L$10:$L$26,'Data'!$E$10:$E$26,"Revenue")-SUMIFS('Data'!$L$10:$L$26,'Data'!$E$10:$E$26,"Cost of sales")-SUMIFS('Data'!$L$10:$L$26,'Data'!$E$10:$E$26,"Wages")-SUMIFS('Data'!$L$10:$L$26,'Data'!$E$10:$E$26,"Other opex")</f>
        <v>0</v>
      </c>
      <c r="J16" s="26">
        <f>SUMIFS('Data'!$M$10:$M$26,'Data'!$E$10:$E$26,"Revenue")-SUMIFS('Data'!$M$10:$M$26,'Data'!$E$10:$E$26,"Cost of sales")-SUMIFS('Data'!$M$10:$M$26,'Data'!$E$10:$E$26,"Wages")-SUMIFS('Data'!$M$10:$M$26,'Data'!$E$10:$E$26,"Other opex")</f>
        <v>0</v>
      </c>
      <c r="K16" s="26">
        <f>SUMIFS('Data'!$N$10:$N$26,'Data'!$E$10:$E$26,"Revenue")-SUMIFS('Data'!$N$10:$N$26,'Data'!$E$10:$E$26,"Cost of sales")-SUMIFS('Data'!$N$10:$N$26,'Data'!$E$10:$E$26,"Wages")-SUMIFS('Data'!$N$10:$N$26,'Data'!$E$10:$E$26,"Other opex")</f>
        <v>0</v>
      </c>
      <c r="L16" s="26">
        <f>SUMIFS('Data'!$O$10:$O$26,'Data'!$E$10:$E$26,"Revenue")-SUMIFS('Data'!$O$10:$O$26,'Data'!$E$10:$E$26,"Cost of sales")-SUMIFS('Data'!$O$10:$O$26,'Data'!$E$10:$E$26,"Wages")-SUMIFS('Data'!$O$10:$O$26,'Data'!$E$10:$E$26,"Other opex")</f>
        <v>0</v>
      </c>
      <c r="M16" s="26">
        <f>SUMIFS('Data'!$P$10:$P$26,'Data'!$E$10:$E$26,"Revenue")-SUMIFS('Data'!$P$10:$P$26,'Data'!$E$10:$E$26,"Cost of sales")-SUMIFS('Data'!$P$10:$P$26,'Data'!$E$10:$E$26,"Wages")-SUMIFS('Data'!$P$10:$P$26,'Data'!$E$10:$E$26,"Other opex")</f>
        <v>0</v>
      </c>
      <c r="N16" s="26">
        <f>SUMIFS('Data'!$Q$10:$Q$26,'Data'!$E$10:$E$26,"Revenue")-SUMIFS('Data'!$Q$10:$Q$26,'Data'!$E$10:$E$26,"Cost of sales")-SUMIFS('Data'!$Q$10:$Q$26,'Data'!$E$10:$E$26,"Wages")-SUMIFS('Data'!$Q$10:$Q$26,'Data'!$E$10:$E$26,"Other opex")</f>
        <v>0</v>
      </c>
      <c r="O16" s="26">
        <f>SUMIFS('Data'!$R$10:$R$26,'Data'!$E$10:$E$26,"Revenue")-SUMIFS('Data'!$R$10:$R$26,'Data'!$E$10:$E$26,"Cost of sales")-SUMIFS('Data'!$R$10:$R$26,'Data'!$E$10:$E$26,"Wages")-SUMIFS('Data'!$R$10:$R$26,'Data'!$E$10:$E$26,"Other opex")</f>
        <v>0</v>
      </c>
    </row>
    <row r="17" spans="2:15" ht="20" customHeight="1">
      <c r="B17" s="20" t="s">
        <v>88</v>
      </c>
      <c r="C17" s="27">
        <f>IFERROR((SUMIFS('Data'!$F$10:$F$26,'Data'!$E$10:$E$26,"Revenue")-SUMIFS('Data'!$F$10:$F$26,'Data'!$E$10:$E$26,"Cost of sales")-SUMIFS('Data'!$F$10:$F$26,'Data'!$E$10:$E$26,"Wages")-SUMIFS('Data'!$F$10:$F$26,'Data'!$E$10:$E$26,"Other opex"))/(SUMIFS('Data'!$F$10:$F$26,'Data'!$E$10:$E$26,"Revenue")),0)</f>
        <v>0</v>
      </c>
      <c r="D17" s="27">
        <f>IFERROR((SUMIFS('Data'!$G$10:$G$26,'Data'!$E$10:$E$26,"Revenue")-SUMIFS('Data'!$G$10:$G$26,'Data'!$E$10:$E$26,"Cost of sales")-SUMIFS('Data'!$G$10:$G$26,'Data'!$E$10:$E$26,"Wages")-SUMIFS('Data'!$G$10:$G$26,'Data'!$E$10:$E$26,"Other opex"))/(SUMIFS('Data'!$G$10:$G$26,'Data'!$E$10:$E$26,"Revenue")),0)</f>
        <v>0</v>
      </c>
      <c r="E17" s="27">
        <f>IFERROR((SUMIFS('Data'!$H$10:$H$26,'Data'!$E$10:$E$26,"Revenue")-SUMIFS('Data'!$H$10:$H$26,'Data'!$E$10:$E$26,"Cost of sales")-SUMIFS('Data'!$H$10:$H$26,'Data'!$E$10:$E$26,"Wages")-SUMIFS('Data'!$H$10:$H$26,'Data'!$E$10:$E$26,"Other opex"))/(SUMIFS('Data'!$H$10:$H$26,'Data'!$E$10:$E$26,"Revenue")),0)</f>
        <v>0</v>
      </c>
      <c r="F17" s="27">
        <f>IFERROR((SUMIFS('Data'!$I$10:$I$26,'Data'!$E$10:$E$26,"Revenue")-SUMIFS('Data'!$I$10:$I$26,'Data'!$E$10:$E$26,"Cost of sales")-SUMIFS('Data'!$I$10:$I$26,'Data'!$E$10:$E$26,"Wages")-SUMIFS('Data'!$I$10:$I$26,'Data'!$E$10:$E$26,"Other opex"))/(SUMIFS('Data'!$I$10:$I$26,'Data'!$E$10:$E$26,"Revenue")),0)</f>
        <v>0</v>
      </c>
      <c r="G17" s="27">
        <f>IFERROR((SUMIFS('Data'!$J$10:$J$26,'Data'!$E$10:$E$26,"Revenue")-SUMIFS('Data'!$J$10:$J$26,'Data'!$E$10:$E$26,"Cost of sales")-SUMIFS('Data'!$J$10:$J$26,'Data'!$E$10:$E$26,"Wages")-SUMIFS('Data'!$J$10:$J$26,'Data'!$E$10:$E$26,"Other opex"))/(SUMIFS('Data'!$J$10:$J$26,'Data'!$E$10:$E$26,"Revenue")),0)</f>
        <v>0</v>
      </c>
      <c r="H17" s="27">
        <f>IFERROR((SUMIFS('Data'!$K$10:$K$26,'Data'!$E$10:$E$26,"Revenue")-SUMIFS('Data'!$K$10:$K$26,'Data'!$E$10:$E$26,"Cost of sales")-SUMIFS('Data'!$K$10:$K$26,'Data'!$E$10:$E$26,"Wages")-SUMIFS('Data'!$K$10:$K$26,'Data'!$E$10:$E$26,"Other opex"))/(SUMIFS('Data'!$K$10:$K$26,'Data'!$E$10:$E$26,"Revenue")),0)</f>
        <v>0</v>
      </c>
      <c r="I17" s="27">
        <f>IFERROR((SUMIFS('Data'!$L$10:$L$26,'Data'!$E$10:$E$26,"Revenue")-SUMIFS('Data'!$L$10:$L$26,'Data'!$E$10:$E$26,"Cost of sales")-SUMIFS('Data'!$L$10:$L$26,'Data'!$E$10:$E$26,"Wages")-SUMIFS('Data'!$L$10:$L$26,'Data'!$E$10:$E$26,"Other opex"))/(SUMIFS('Data'!$L$10:$L$26,'Data'!$E$10:$E$26,"Revenue")),0)</f>
        <v>0</v>
      </c>
      <c r="J17" s="27">
        <f>IFERROR((SUMIFS('Data'!$M$10:$M$26,'Data'!$E$10:$E$26,"Revenue")-SUMIFS('Data'!$M$10:$M$26,'Data'!$E$10:$E$26,"Cost of sales")-SUMIFS('Data'!$M$10:$M$26,'Data'!$E$10:$E$26,"Wages")-SUMIFS('Data'!$M$10:$M$26,'Data'!$E$10:$E$26,"Other opex"))/(SUMIFS('Data'!$M$10:$M$26,'Data'!$E$10:$E$26,"Revenue")),0)</f>
        <v>0</v>
      </c>
      <c r="K17" s="27">
        <f>IFERROR((SUMIFS('Data'!$N$10:$N$26,'Data'!$E$10:$E$26,"Revenue")-SUMIFS('Data'!$N$10:$N$26,'Data'!$E$10:$E$26,"Cost of sales")-SUMIFS('Data'!$N$10:$N$26,'Data'!$E$10:$E$26,"Wages")-SUMIFS('Data'!$N$10:$N$26,'Data'!$E$10:$E$26,"Other opex"))/(SUMIFS('Data'!$N$10:$N$26,'Data'!$E$10:$E$26,"Revenue")),0)</f>
        <v>0</v>
      </c>
      <c r="L17" s="27">
        <f>IFERROR((SUMIFS('Data'!$O$10:$O$26,'Data'!$E$10:$E$26,"Revenue")-SUMIFS('Data'!$O$10:$O$26,'Data'!$E$10:$E$26,"Cost of sales")-SUMIFS('Data'!$O$10:$O$26,'Data'!$E$10:$E$26,"Wages")-SUMIFS('Data'!$O$10:$O$26,'Data'!$E$10:$E$26,"Other opex"))/(SUMIFS('Data'!$O$10:$O$26,'Data'!$E$10:$E$26,"Revenue")),0)</f>
        <v>0</v>
      </c>
      <c r="M17" s="27">
        <f>IFERROR((SUMIFS('Data'!$P$10:$P$26,'Data'!$E$10:$E$26,"Revenue")-SUMIFS('Data'!$P$10:$P$26,'Data'!$E$10:$E$26,"Cost of sales")-SUMIFS('Data'!$P$10:$P$26,'Data'!$E$10:$E$26,"Wages")-SUMIFS('Data'!$P$10:$P$26,'Data'!$E$10:$E$26,"Other opex"))/(SUMIFS('Data'!$P$10:$P$26,'Data'!$E$10:$E$26,"Revenue")),0)</f>
        <v>0</v>
      </c>
      <c r="N17" s="27">
        <f>IFERROR((SUMIFS('Data'!$Q$10:$Q$26,'Data'!$E$10:$E$26,"Revenue")-SUMIFS('Data'!$Q$10:$Q$26,'Data'!$E$10:$E$26,"Cost of sales")-SUMIFS('Data'!$Q$10:$Q$26,'Data'!$E$10:$E$26,"Wages")-SUMIFS('Data'!$Q$10:$Q$26,'Data'!$E$10:$E$26,"Other opex"))/(SUMIFS('Data'!$Q$10:$Q$26,'Data'!$E$10:$E$26,"Revenue")),0)</f>
        <v>0</v>
      </c>
      <c r="O17" s="27">
        <f>IFERROR((SUMIFS('Data'!$R$10:$R$26,'Data'!$E$10:$E$26,"Revenue")-SUMIFS('Data'!$R$10:$R$26,'Data'!$E$10:$E$26,"Cost of sales")-SUMIFS('Data'!$R$10:$R$26,'Data'!$E$10:$E$26,"Wages")-SUMIFS('Data'!$R$10:$R$26,'Data'!$E$10:$E$26,"Other opex"))/(SUMIFS('Data'!$R$10:$R$26,'Data'!$E$10:$E$26,"Revenue")),0)</f>
        <v>0</v>
      </c>
    </row>
    <row r="18" spans="2:15" ht="20" customHeight="1">
      <c r="B18" s="22" t="s">
        <v>89</v>
      </c>
      <c r="C18" s="23">
        <f>-SUMIFS('Data'!$F$10:$F$26,'Data'!$E$10:$E$26,"D&amp;A")</f>
        <v>0</v>
      </c>
      <c r="D18" s="23">
        <f>-SUMIFS('Data'!$G$10:$G$26,'Data'!$E$10:$E$26,"D&amp;A")</f>
        <v>0</v>
      </c>
      <c r="E18" s="23">
        <f>-SUMIFS('Data'!$H$10:$H$26,'Data'!$E$10:$E$26,"D&amp;A")</f>
        <v>0</v>
      </c>
      <c r="F18" s="23">
        <f>-SUMIFS('Data'!$I$10:$I$26,'Data'!$E$10:$E$26,"D&amp;A")</f>
        <v>0</v>
      </c>
      <c r="G18" s="23">
        <f>-SUMIFS('Data'!$J$10:$J$26,'Data'!$E$10:$E$26,"D&amp;A")</f>
        <v>0</v>
      </c>
      <c r="H18" s="23">
        <f>-SUMIFS('Data'!$K$10:$K$26,'Data'!$E$10:$E$26,"D&amp;A")</f>
        <v>0</v>
      </c>
      <c r="I18" s="23">
        <f>-SUMIFS('Data'!$L$10:$L$26,'Data'!$E$10:$E$26,"D&amp;A")</f>
        <v>0</v>
      </c>
      <c r="J18" s="23">
        <f>-SUMIFS('Data'!$M$10:$M$26,'Data'!$E$10:$E$26,"D&amp;A")</f>
        <v>0</v>
      </c>
      <c r="K18" s="23">
        <f>-SUMIFS('Data'!$N$10:$N$26,'Data'!$E$10:$E$26,"D&amp;A")</f>
        <v>0</v>
      </c>
      <c r="L18" s="23">
        <f>-SUMIFS('Data'!$O$10:$O$26,'Data'!$E$10:$E$26,"D&amp;A")</f>
        <v>0</v>
      </c>
      <c r="M18" s="23">
        <f>-SUMIFS('Data'!$P$10:$P$26,'Data'!$E$10:$E$26,"D&amp;A")</f>
        <v>0</v>
      </c>
      <c r="N18" s="23">
        <f>-SUMIFS('Data'!$Q$10:$Q$26,'Data'!$E$10:$E$26,"D&amp;A")</f>
        <v>0</v>
      </c>
      <c r="O18" s="23">
        <f>-SUMIFS('Data'!$R$10:$R$26,'Data'!$E$10:$E$26,"D&amp;A")</f>
        <v>0</v>
      </c>
    </row>
    <row r="19" spans="2:15" ht="24" customHeight="1">
      <c r="B19" s="28" t="s">
        <v>68</v>
      </c>
      <c r="C19" s="29">
        <f>SUMIFS('Data'!$F$10:$F$26,'Data'!$E$10:$E$26,"Revenue")-SUMIFS('Data'!$F$10:$F$26,'Data'!$E$10:$E$26,"Cost of sales")-SUMIFS('Data'!$F$10:$F$26,'Data'!$E$10:$E$26,"Wages")-SUMIFS('Data'!$F$10:$F$26,'Data'!$E$10:$E$26,"Other opex")-SUMIFS('Data'!$F$10:$F$26,'Data'!$E$10:$E$26,"D&amp;A")</f>
        <v>0</v>
      </c>
      <c r="D19" s="29">
        <f>SUMIFS('Data'!$G$10:$G$26,'Data'!$E$10:$E$26,"Revenue")-SUMIFS('Data'!$G$10:$G$26,'Data'!$E$10:$E$26,"Cost of sales")-SUMIFS('Data'!$G$10:$G$26,'Data'!$E$10:$E$26,"Wages")-SUMIFS('Data'!$G$10:$G$26,'Data'!$E$10:$E$26,"Other opex")-SUMIFS('Data'!$G$10:$G$26,'Data'!$E$10:$E$26,"D&amp;A")</f>
        <v>0</v>
      </c>
      <c r="E19" s="29">
        <f>SUMIFS('Data'!$H$10:$H$26,'Data'!$E$10:$E$26,"Revenue")-SUMIFS('Data'!$H$10:$H$26,'Data'!$E$10:$E$26,"Cost of sales")-SUMIFS('Data'!$H$10:$H$26,'Data'!$E$10:$E$26,"Wages")-SUMIFS('Data'!$H$10:$H$26,'Data'!$E$10:$E$26,"Other opex")-SUMIFS('Data'!$H$10:$H$26,'Data'!$E$10:$E$26,"D&amp;A")</f>
        <v>0</v>
      </c>
      <c r="F19" s="29">
        <f>SUMIFS('Data'!$I$10:$I$26,'Data'!$E$10:$E$26,"Revenue")-SUMIFS('Data'!$I$10:$I$26,'Data'!$E$10:$E$26,"Cost of sales")-SUMIFS('Data'!$I$10:$I$26,'Data'!$E$10:$E$26,"Wages")-SUMIFS('Data'!$I$10:$I$26,'Data'!$E$10:$E$26,"Other opex")-SUMIFS('Data'!$I$10:$I$26,'Data'!$E$10:$E$26,"D&amp;A")</f>
        <v>0</v>
      </c>
      <c r="G19" s="29">
        <f>SUMIFS('Data'!$J$10:$J$26,'Data'!$E$10:$E$26,"Revenue")-SUMIFS('Data'!$J$10:$J$26,'Data'!$E$10:$E$26,"Cost of sales")-SUMIFS('Data'!$J$10:$J$26,'Data'!$E$10:$E$26,"Wages")-SUMIFS('Data'!$J$10:$J$26,'Data'!$E$10:$E$26,"Other opex")-SUMIFS('Data'!$J$10:$J$26,'Data'!$E$10:$E$26,"D&amp;A")</f>
        <v>0</v>
      </c>
      <c r="H19" s="29">
        <f>SUMIFS('Data'!$K$10:$K$26,'Data'!$E$10:$E$26,"Revenue")-SUMIFS('Data'!$K$10:$K$26,'Data'!$E$10:$E$26,"Cost of sales")-SUMIFS('Data'!$K$10:$K$26,'Data'!$E$10:$E$26,"Wages")-SUMIFS('Data'!$K$10:$K$26,'Data'!$E$10:$E$26,"Other opex")-SUMIFS('Data'!$K$10:$K$26,'Data'!$E$10:$E$26,"D&amp;A")</f>
        <v>0</v>
      </c>
      <c r="I19" s="29">
        <f>SUMIFS('Data'!$L$10:$L$26,'Data'!$E$10:$E$26,"Revenue")-SUMIFS('Data'!$L$10:$L$26,'Data'!$E$10:$E$26,"Cost of sales")-SUMIFS('Data'!$L$10:$L$26,'Data'!$E$10:$E$26,"Wages")-SUMIFS('Data'!$L$10:$L$26,'Data'!$E$10:$E$26,"Other opex")-SUMIFS('Data'!$L$10:$L$26,'Data'!$E$10:$E$26,"D&amp;A")</f>
        <v>0</v>
      </c>
      <c r="J19" s="29">
        <f>SUMIFS('Data'!$M$10:$M$26,'Data'!$E$10:$E$26,"Revenue")-SUMIFS('Data'!$M$10:$M$26,'Data'!$E$10:$E$26,"Cost of sales")-SUMIFS('Data'!$M$10:$M$26,'Data'!$E$10:$E$26,"Wages")-SUMIFS('Data'!$M$10:$M$26,'Data'!$E$10:$E$26,"Other opex")-SUMIFS('Data'!$M$10:$M$26,'Data'!$E$10:$E$26,"D&amp;A")</f>
        <v>0</v>
      </c>
      <c r="K19" s="29">
        <f>SUMIFS('Data'!$N$10:$N$26,'Data'!$E$10:$E$26,"Revenue")-SUMIFS('Data'!$N$10:$N$26,'Data'!$E$10:$E$26,"Cost of sales")-SUMIFS('Data'!$N$10:$N$26,'Data'!$E$10:$E$26,"Wages")-SUMIFS('Data'!$N$10:$N$26,'Data'!$E$10:$E$26,"Other opex")-SUMIFS('Data'!$N$10:$N$26,'Data'!$E$10:$E$26,"D&amp;A")</f>
        <v>0</v>
      </c>
      <c r="L19" s="29">
        <f>SUMIFS('Data'!$O$10:$O$26,'Data'!$E$10:$E$26,"Revenue")-SUMIFS('Data'!$O$10:$O$26,'Data'!$E$10:$E$26,"Cost of sales")-SUMIFS('Data'!$O$10:$O$26,'Data'!$E$10:$E$26,"Wages")-SUMIFS('Data'!$O$10:$O$26,'Data'!$E$10:$E$26,"Other opex")-SUMIFS('Data'!$O$10:$O$26,'Data'!$E$10:$E$26,"D&amp;A")</f>
        <v>0</v>
      </c>
      <c r="M19" s="29">
        <f>SUMIFS('Data'!$P$10:$P$26,'Data'!$E$10:$E$26,"Revenue")-SUMIFS('Data'!$P$10:$P$26,'Data'!$E$10:$E$26,"Cost of sales")-SUMIFS('Data'!$P$10:$P$26,'Data'!$E$10:$E$26,"Wages")-SUMIFS('Data'!$P$10:$P$26,'Data'!$E$10:$E$26,"Other opex")-SUMIFS('Data'!$P$10:$P$26,'Data'!$E$10:$E$26,"D&amp;A")</f>
        <v>0</v>
      </c>
      <c r="N19" s="29">
        <f>SUMIFS('Data'!$Q$10:$Q$26,'Data'!$E$10:$E$26,"Revenue")-SUMIFS('Data'!$Q$10:$Q$26,'Data'!$E$10:$E$26,"Cost of sales")-SUMIFS('Data'!$Q$10:$Q$26,'Data'!$E$10:$E$26,"Wages")-SUMIFS('Data'!$Q$10:$Q$26,'Data'!$E$10:$E$26,"Other opex")-SUMIFS('Data'!$Q$10:$Q$26,'Data'!$E$10:$E$26,"D&amp;A")</f>
        <v>0</v>
      </c>
      <c r="O19" s="29">
        <f>SUMIFS('Data'!$R$10:$R$26,'Data'!$E$10:$E$26,"Revenue")-SUMIFS('Data'!$R$10:$R$26,'Data'!$E$10:$E$26,"Cost of sales")-SUMIFS('Data'!$R$10:$R$26,'Data'!$E$10:$E$26,"Wages")-SUMIFS('Data'!$R$10:$R$26,'Data'!$E$10:$E$26,"Other opex")-SUMIFS('Data'!$R$10:$R$26,'Data'!$E$10:$E$26,"D&amp;A")</f>
        <v>0</v>
      </c>
    </row>
    <row r="21" spans="2:15" ht="14" customHeight="1">
      <c r="B21" s="3" t="s">
        <v>69</v>
      </c>
    </row>
    <row r="22" spans="2:15" ht="26" customHeight="1">
      <c r="B22" s="16" t="s">
        <v>70</v>
      </c>
    </row>
    <row r="23" spans="2:15" ht="26" customHeight="1">
      <c r="B23" s="18" t="s">
        <v>71</v>
      </c>
      <c r="C23" s="19" t="s">
        <v>72</v>
      </c>
      <c r="D23" s="19" t="s">
        <v>73</v>
      </c>
      <c r="E23" s="19" t="s">
        <v>74</v>
      </c>
      <c r="F23" s="19" t="s">
        <v>75</v>
      </c>
    </row>
    <row r="24" spans="2:15" ht="22" customHeight="1">
      <c r="B24" s="20" t="s">
        <v>90</v>
      </c>
      <c r="C24" s="21">
        <f>$O$10</f>
        <v>0</v>
      </c>
      <c r="D24" s="21">
        <f>SUMIFS('Data'!$R$10:$R$26,'Data'!$E$10:$E$26,"Revenue")</f>
        <v>0</v>
      </c>
      <c r="E24" s="21">
        <f>C24-D24</f>
        <v>0</v>
      </c>
      <c r="F24" s="24">
        <f>IF(ABS(C24-D24)&lt;0.5,"OK","FLAG")</f>
        <v>0</v>
      </c>
    </row>
    <row r="25" spans="2:15" ht="22" customHeight="1">
      <c r="B25" s="22" t="s">
        <v>91</v>
      </c>
      <c r="C25" s="23">
        <f>$O$19</f>
        <v>0</v>
      </c>
      <c r="D25" s="23">
        <f>SUM($C$19:$N$19)</f>
        <v>0</v>
      </c>
      <c r="E25" s="23">
        <f>C25-D25</f>
        <v>0</v>
      </c>
      <c r="F25" s="24">
        <f>IF(ABS(C25-D25)&lt;0.5,"OK","FLAG")</f>
        <v>0</v>
      </c>
    </row>
  </sheetData>
  <mergeCells count="3">
    <mergeCell ref="B2:Q2"/>
    <mergeCell ref="B3:Q3"/>
    <mergeCell ref="B5:R5"/>
  </mergeCells>
  <conditionalFormatting sqref="F24:F25">
    <cfRule type="containsText" dxfId="0" priority="1" operator="containsText" text="OK">
      <formula>NOT(ISERROR(SEARCH("OK",F24)))</formula>
    </cfRule>
    <cfRule type="containsText" dxfId="1" priority="2" operator="containsText" text="FLAG">
      <formula>NOT(ISERROR(SEARCH("FLAG",F24)))</formula>
    </cfRule>
  </conditionalFormatting>
  <printOptions horizontalCentered="1"/>
  <pageMargins left="0.4" right="0.4" top="0.5" bottom="0.6" header="0.2" footer="0.3"/>
  <pageSetup paperSize="9" fitToHeight="0" orientation="landscape"/>
  <headerFooter>
    <oddHeader>&amp;L&amp;"Arial"&amp;8&amp;K707070Lyros Accounting&amp;C&amp;"Arial"&amp;8&amp;K707070P&amp;L Monthly&amp;R&amp;"Arial"&amp;8&amp;K707070Page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3A9E6E"/>
    <pageSetUpPr fitToPage="1"/>
  </sheetPr>
  <dimension ref="A1:J26"/>
  <sheetViews>
    <sheetView showGridLines="0" workbookViewId="0"/>
  </sheetViews>
  <sheetFormatPr defaultRowHeight="15"/>
  <cols>
    <col min="1" max="1" width="2.7109375" customWidth="1"/>
    <col min="2" max="2" width="28.7109375" customWidth="1"/>
    <col min="3" max="9" width="14.7109375" customWidth="1"/>
    <col min="10" max="10" width="2.7109375" customWidth="1"/>
  </cols>
  <sheetData>
    <row r="1" spans="1:10" ht="14" customHeight="1">
      <c r="A1" s="1"/>
      <c r="B1" s="1"/>
      <c r="C1" s="1"/>
      <c r="D1" s="1"/>
      <c r="E1" s="1"/>
      <c r="F1" s="1"/>
      <c r="G1" s="1"/>
      <c r="H1" s="1"/>
      <c r="I1" s="1"/>
      <c r="J1" s="1"/>
    </row>
    <row r="2" spans="1:10" ht="16" customHeight="1">
      <c r="A2" s="1"/>
      <c r="B2" s="11" t="s">
        <v>92</v>
      </c>
      <c r="C2" s="11"/>
      <c r="D2" s="11"/>
      <c r="E2" s="11"/>
      <c r="F2" s="11"/>
      <c r="G2" s="11"/>
      <c r="H2" s="11"/>
      <c r="I2" s="1"/>
      <c r="J2" s="1"/>
    </row>
    <row r="3" spans="1:10" ht="26" customHeight="1">
      <c r="A3" s="1"/>
      <c r="B3" s="12" t="s">
        <v>93</v>
      </c>
      <c r="C3" s="12"/>
      <c r="D3" s="12"/>
      <c r="E3" s="12"/>
      <c r="F3" s="12"/>
      <c r="G3" s="12"/>
      <c r="H3" s="12"/>
      <c r="I3" s="1"/>
      <c r="J3" s="1"/>
    </row>
    <row r="4" spans="1:10" ht="4" customHeight="1">
      <c r="A4" s="2"/>
      <c r="B4" s="2"/>
      <c r="C4" s="2"/>
      <c r="D4" s="2"/>
      <c r="E4" s="2"/>
      <c r="F4" s="2"/>
      <c r="G4" s="2"/>
      <c r="H4" s="2"/>
      <c r="I4" s="2"/>
      <c r="J4" s="2"/>
    </row>
    <row r="5" spans="1:10" ht="64" customHeight="1">
      <c r="B5" s="6" t="s">
        <v>94</v>
      </c>
      <c r="C5" s="6"/>
      <c r="D5" s="6"/>
      <c r="E5" s="6"/>
      <c r="F5" s="6"/>
      <c r="G5" s="6"/>
      <c r="H5" s="6"/>
      <c r="I5" s="6"/>
    </row>
    <row r="7" spans="1:10" ht="14" customHeight="1">
      <c r="B7" s="3" t="s">
        <v>80</v>
      </c>
    </row>
    <row r="8" spans="1:10" ht="26" customHeight="1">
      <c r="B8" s="16" t="s">
        <v>95</v>
      </c>
    </row>
    <row r="9" spans="1:10" ht="26" customHeight="1">
      <c r="B9" s="18" t="s">
        <v>82</v>
      </c>
      <c r="C9" s="19" t="s">
        <v>96</v>
      </c>
      <c r="D9" s="19" t="s">
        <v>97</v>
      </c>
      <c r="E9" s="19" t="s">
        <v>98</v>
      </c>
      <c r="F9" s="19" t="s">
        <v>99</v>
      </c>
    </row>
    <row r="10" spans="1:10" ht="22" customHeight="1">
      <c r="B10" s="20" t="s">
        <v>66</v>
      </c>
      <c r="C10" s="21">
        <f>(SUMIFS('Data'!$L$10:$L$26,'Data'!$E$10:$E$26,"Revenue")+SUMIFS('Data'!$M$10:$M$26,'Data'!$E$10:$E$26,"Revenue")+SUMIFS('Data'!$N$10:$N$26,'Data'!$E$10:$E$26,"Revenue"))</f>
        <v>0</v>
      </c>
      <c r="D10" s="21">
        <f>(SUMIFS('Data'!$O$10:$O$26,'Data'!$E$10:$E$26,"Revenue")+SUMIFS('Data'!$P$10:$P$26,'Data'!$E$10:$E$26,"Revenue")+SUMIFS('Data'!$Q$10:$Q$26,'Data'!$E$10:$E$26,"Revenue"))</f>
        <v>0</v>
      </c>
      <c r="E10" s="21">
        <f>D10-C10</f>
        <v>0</v>
      </c>
      <c r="F10" s="27">
        <f>IFERROR((D10-C10)/ABS(C10),0)</f>
        <v>0</v>
      </c>
    </row>
    <row r="11" spans="1:10" ht="22" customHeight="1">
      <c r="B11" s="22" t="s">
        <v>84</v>
      </c>
      <c r="C11" s="23">
        <f>(SUMIFS('Data'!$L$10:$L$26,'Data'!$E$10:$E$26,"Cost of sales")+SUMIFS('Data'!$M$10:$M$26,'Data'!$E$10:$E$26,"Cost of sales")+SUMIFS('Data'!$N$10:$N$26,'Data'!$E$10:$E$26,"Cost of sales"))</f>
        <v>0</v>
      </c>
      <c r="D11" s="23">
        <f>(SUMIFS('Data'!$O$10:$O$26,'Data'!$E$10:$E$26,"Cost of sales")+SUMIFS('Data'!$P$10:$P$26,'Data'!$E$10:$E$26,"Cost of sales")+SUMIFS('Data'!$Q$10:$Q$26,'Data'!$E$10:$E$26,"Cost of sales"))</f>
        <v>0</v>
      </c>
      <c r="E11" s="23">
        <f>D11-C11</f>
        <v>0</v>
      </c>
      <c r="F11" s="30">
        <f>IFERROR((D11-C11)/ABS(C11),0)</f>
        <v>0</v>
      </c>
    </row>
    <row r="12" spans="1:10" ht="22" customHeight="1">
      <c r="B12" s="25" t="s">
        <v>67</v>
      </c>
      <c r="C12" s="26">
        <f>(SUMIFS('Data'!$L$10:$L$26,'Data'!$E$10:$E$26,"Revenue")+SUMIFS('Data'!$M$10:$M$26,'Data'!$E$10:$E$26,"Revenue")+SUMIFS('Data'!$N$10:$N$26,'Data'!$E$10:$E$26,"Revenue"))-(SUMIFS('Data'!$L$10:$L$26,'Data'!$E$10:$E$26,"Cost of sales")+SUMIFS('Data'!$M$10:$M$26,'Data'!$E$10:$E$26,"Cost of sales")+SUMIFS('Data'!$N$10:$N$26,'Data'!$E$10:$E$26,"Cost of sales"))</f>
        <v>0</v>
      </c>
      <c r="D12" s="26">
        <f>(SUMIFS('Data'!$O$10:$O$26,'Data'!$E$10:$E$26,"Revenue")+SUMIFS('Data'!$P$10:$P$26,'Data'!$E$10:$E$26,"Revenue")+SUMIFS('Data'!$Q$10:$Q$26,'Data'!$E$10:$E$26,"Revenue"))-(SUMIFS('Data'!$O$10:$O$26,'Data'!$E$10:$E$26,"Cost of sales")+SUMIFS('Data'!$P$10:$P$26,'Data'!$E$10:$E$26,"Cost of sales")+SUMIFS('Data'!$Q$10:$Q$26,'Data'!$E$10:$E$26,"Cost of sales"))</f>
        <v>0</v>
      </c>
      <c r="E12" s="26">
        <f>D12-C12</f>
        <v>0</v>
      </c>
      <c r="F12" s="31">
        <f>IFERROR((D12-C12)/ABS(C12),0)</f>
        <v>0</v>
      </c>
    </row>
    <row r="13" spans="1:10" ht="22" customHeight="1">
      <c r="B13" s="22" t="s">
        <v>86</v>
      </c>
      <c r="C13" s="23">
        <f>(SUMIFS('Data'!$L$10:$L$26,'Data'!$E$10:$E$26,"Wages")+SUMIFS('Data'!$M$10:$M$26,'Data'!$E$10:$E$26,"Wages")+SUMIFS('Data'!$N$10:$N$26,'Data'!$E$10:$E$26,"Wages"))</f>
        <v>0</v>
      </c>
      <c r="D13" s="23">
        <f>(SUMIFS('Data'!$O$10:$O$26,'Data'!$E$10:$E$26,"Wages")+SUMIFS('Data'!$P$10:$P$26,'Data'!$E$10:$E$26,"Wages")+SUMIFS('Data'!$Q$10:$Q$26,'Data'!$E$10:$E$26,"Wages"))</f>
        <v>0</v>
      </c>
      <c r="E13" s="23">
        <f>D13-C13</f>
        <v>0</v>
      </c>
      <c r="F13" s="30">
        <f>IFERROR((D13-C13)/ABS(C13),0)</f>
        <v>0</v>
      </c>
    </row>
    <row r="14" spans="1:10" ht="22" customHeight="1">
      <c r="B14" s="20" t="s">
        <v>87</v>
      </c>
      <c r="C14" s="21">
        <f>(SUMIFS('Data'!$L$10:$L$26,'Data'!$E$10:$E$26,"Other opex")+SUMIFS('Data'!$M$10:$M$26,'Data'!$E$10:$E$26,"Other opex")+SUMIFS('Data'!$N$10:$N$26,'Data'!$E$10:$E$26,"Other opex"))</f>
        <v>0</v>
      </c>
      <c r="D14" s="21">
        <f>(SUMIFS('Data'!$O$10:$O$26,'Data'!$E$10:$E$26,"Other opex")+SUMIFS('Data'!$P$10:$P$26,'Data'!$E$10:$E$26,"Other opex")+SUMIFS('Data'!$Q$10:$Q$26,'Data'!$E$10:$E$26,"Other opex"))</f>
        <v>0</v>
      </c>
      <c r="E14" s="21">
        <f>D14-C14</f>
        <v>0</v>
      </c>
      <c r="F14" s="27">
        <f>IFERROR((D14-C14)/ABS(C14),0)</f>
        <v>0</v>
      </c>
    </row>
    <row r="15" spans="1:10" ht="22" customHeight="1">
      <c r="B15" s="25" t="s">
        <v>45</v>
      </c>
      <c r="C15" s="26">
        <f>(SUMIFS('Data'!$L$10:$L$26,'Data'!$E$10:$E$26,"Revenue")+SUMIFS('Data'!$M$10:$M$26,'Data'!$E$10:$E$26,"Revenue")+SUMIFS('Data'!$N$10:$N$26,'Data'!$E$10:$E$26,"Revenue"))-(SUMIFS('Data'!$L$10:$L$26,'Data'!$E$10:$E$26,"Cost of sales")+SUMIFS('Data'!$M$10:$M$26,'Data'!$E$10:$E$26,"Cost of sales")+SUMIFS('Data'!$N$10:$N$26,'Data'!$E$10:$E$26,"Cost of sales"))-(SUMIFS('Data'!$L$10:$L$26,'Data'!$E$10:$E$26,"Wages")+SUMIFS('Data'!$M$10:$M$26,'Data'!$E$10:$E$26,"Wages")+SUMIFS('Data'!$N$10:$N$26,'Data'!$E$10:$E$26,"Wages"))-(SUMIFS('Data'!$L$10:$L$26,'Data'!$E$10:$E$26,"Other opex")+SUMIFS('Data'!$M$10:$M$26,'Data'!$E$10:$E$26,"Other opex")+SUMIFS('Data'!$N$10:$N$26,'Data'!$E$10:$E$26,"Other opex"))</f>
        <v>0</v>
      </c>
      <c r="D15" s="26">
        <f>(SUMIFS('Data'!$O$10:$O$26,'Data'!$E$10:$E$26,"Revenue")+SUMIFS('Data'!$P$10:$P$26,'Data'!$E$10:$E$26,"Revenue")+SUMIFS('Data'!$Q$10:$Q$26,'Data'!$E$10:$E$26,"Revenue"))-(SUMIFS('Data'!$O$10:$O$26,'Data'!$E$10:$E$26,"Cost of sales")+SUMIFS('Data'!$P$10:$P$26,'Data'!$E$10:$E$26,"Cost of sales")+SUMIFS('Data'!$Q$10:$Q$26,'Data'!$E$10:$E$26,"Cost of sales"))-(SUMIFS('Data'!$O$10:$O$26,'Data'!$E$10:$E$26,"Wages")+SUMIFS('Data'!$P$10:$P$26,'Data'!$E$10:$E$26,"Wages")+SUMIFS('Data'!$Q$10:$Q$26,'Data'!$E$10:$E$26,"Wages"))-(SUMIFS('Data'!$O$10:$O$26,'Data'!$E$10:$E$26,"Other opex")+SUMIFS('Data'!$P$10:$P$26,'Data'!$E$10:$E$26,"Other opex")+SUMIFS('Data'!$Q$10:$Q$26,'Data'!$E$10:$E$26,"Other opex"))</f>
        <v>0</v>
      </c>
      <c r="E15" s="26">
        <f>D15-C15</f>
        <v>0</v>
      </c>
      <c r="F15" s="31">
        <f>IFERROR((D15-C15)/ABS(C15),0)</f>
        <v>0</v>
      </c>
    </row>
    <row r="16" spans="1:10" ht="22" customHeight="1">
      <c r="B16" s="20" t="s">
        <v>89</v>
      </c>
      <c r="C16" s="21">
        <f>(SUMIFS('Data'!$L$10:$L$26,'Data'!$E$10:$E$26,"D&amp;A")+SUMIFS('Data'!$M$10:$M$26,'Data'!$E$10:$E$26,"D&amp;A")+SUMIFS('Data'!$N$10:$N$26,'Data'!$E$10:$E$26,"D&amp;A"))</f>
        <v>0</v>
      </c>
      <c r="D16" s="21">
        <f>(SUMIFS('Data'!$O$10:$O$26,'Data'!$E$10:$E$26,"D&amp;A")+SUMIFS('Data'!$P$10:$P$26,'Data'!$E$10:$E$26,"D&amp;A")+SUMIFS('Data'!$Q$10:$Q$26,'Data'!$E$10:$E$26,"D&amp;A"))</f>
        <v>0</v>
      </c>
      <c r="E16" s="21">
        <f>D16-C16</f>
        <v>0</v>
      </c>
      <c r="F16" s="27">
        <f>IFERROR((D16-C16)/ABS(C16),0)</f>
        <v>0</v>
      </c>
    </row>
    <row r="17" spans="2:6" ht="22" customHeight="1">
      <c r="B17" s="25" t="s">
        <v>68</v>
      </c>
      <c r="C17" s="26">
        <f>(SUMIFS('Data'!$L$10:$L$26,'Data'!$E$10:$E$26,"Revenue")+SUMIFS('Data'!$M$10:$M$26,'Data'!$E$10:$E$26,"Revenue")+SUMIFS('Data'!$N$10:$N$26,'Data'!$E$10:$E$26,"Revenue"))-(SUMIFS('Data'!$L$10:$L$26,'Data'!$E$10:$E$26,"Cost of sales")+SUMIFS('Data'!$M$10:$M$26,'Data'!$E$10:$E$26,"Cost of sales")+SUMIFS('Data'!$N$10:$N$26,'Data'!$E$10:$E$26,"Cost of sales"))-(SUMIFS('Data'!$L$10:$L$26,'Data'!$E$10:$E$26,"Wages")+SUMIFS('Data'!$M$10:$M$26,'Data'!$E$10:$E$26,"Wages")+SUMIFS('Data'!$N$10:$N$26,'Data'!$E$10:$E$26,"Wages"))-(SUMIFS('Data'!$L$10:$L$26,'Data'!$E$10:$E$26,"Other opex")+SUMIFS('Data'!$M$10:$M$26,'Data'!$E$10:$E$26,"Other opex")+SUMIFS('Data'!$N$10:$N$26,'Data'!$E$10:$E$26,"Other opex"))-(SUMIFS('Data'!$L$10:$L$26,'Data'!$E$10:$E$26,"D&amp;A")+SUMIFS('Data'!$M$10:$M$26,'Data'!$E$10:$E$26,"D&amp;A")+SUMIFS('Data'!$N$10:$N$26,'Data'!$E$10:$E$26,"D&amp;A"))</f>
        <v>0</v>
      </c>
      <c r="D17" s="26">
        <f>(SUMIFS('Data'!$O$10:$O$26,'Data'!$E$10:$E$26,"Revenue")+SUMIFS('Data'!$P$10:$P$26,'Data'!$E$10:$E$26,"Revenue")+SUMIFS('Data'!$Q$10:$Q$26,'Data'!$E$10:$E$26,"Revenue"))-(SUMIFS('Data'!$O$10:$O$26,'Data'!$E$10:$E$26,"Cost of sales")+SUMIFS('Data'!$P$10:$P$26,'Data'!$E$10:$E$26,"Cost of sales")+SUMIFS('Data'!$Q$10:$Q$26,'Data'!$E$10:$E$26,"Cost of sales"))-(SUMIFS('Data'!$O$10:$O$26,'Data'!$E$10:$E$26,"Wages")+SUMIFS('Data'!$P$10:$P$26,'Data'!$E$10:$E$26,"Wages")+SUMIFS('Data'!$Q$10:$Q$26,'Data'!$E$10:$E$26,"Wages"))-(SUMIFS('Data'!$O$10:$O$26,'Data'!$E$10:$E$26,"Other opex")+SUMIFS('Data'!$P$10:$P$26,'Data'!$E$10:$E$26,"Other opex")+SUMIFS('Data'!$Q$10:$Q$26,'Data'!$E$10:$E$26,"Other opex"))-(SUMIFS('Data'!$O$10:$O$26,'Data'!$E$10:$E$26,"D&amp;A")+SUMIFS('Data'!$P$10:$P$26,'Data'!$E$10:$E$26,"D&amp;A")+SUMIFS('Data'!$Q$10:$Q$26,'Data'!$E$10:$E$26,"D&amp;A"))</f>
        <v>0</v>
      </c>
      <c r="E17" s="26">
        <f>D17-C17</f>
        <v>0</v>
      </c>
      <c r="F17" s="31">
        <f>IFERROR((D17-C17)/ABS(C17),0)</f>
        <v>0</v>
      </c>
    </row>
    <row r="19" spans="2:6" ht="18" customHeight="1">
      <c r="B19" s="8" t="s">
        <v>100</v>
      </c>
      <c r="C19" s="32" t="s">
        <v>101</v>
      </c>
      <c r="D19" s="33" t="s">
        <v>102</v>
      </c>
      <c r="E19" s="34" t="s">
        <v>103</v>
      </c>
      <c r="F19" s="8" t="s">
        <v>104</v>
      </c>
    </row>
    <row r="20" spans="2:6" ht="18" customHeight="1">
      <c r="B20" s="8" t="s">
        <v>105</v>
      </c>
      <c r="C20" s="34" t="s">
        <v>101</v>
      </c>
      <c r="D20" s="33" t="s">
        <v>102</v>
      </c>
      <c r="E20" s="32" t="s">
        <v>103</v>
      </c>
      <c r="F20" s="8" t="s">
        <v>104</v>
      </c>
    </row>
    <row r="22" spans="2:6" ht="14" customHeight="1">
      <c r="B22" s="3" t="s">
        <v>69</v>
      </c>
    </row>
    <row r="23" spans="2:6" ht="26" customHeight="1">
      <c r="B23" s="16" t="s">
        <v>70</v>
      </c>
    </row>
    <row r="24" spans="2:6" ht="26" customHeight="1">
      <c r="B24" s="18" t="s">
        <v>71</v>
      </c>
      <c r="C24" s="19" t="s">
        <v>72</v>
      </c>
      <c r="D24" s="19" t="s">
        <v>73</v>
      </c>
      <c r="E24" s="19" t="s">
        <v>74</v>
      </c>
      <c r="F24" s="19" t="s">
        <v>75</v>
      </c>
    </row>
    <row r="25" spans="2:6" ht="22" customHeight="1">
      <c r="B25" s="20" t="s">
        <v>106</v>
      </c>
      <c r="C25" s="21">
        <f>$D$10</f>
        <v>0</v>
      </c>
      <c r="D25" s="21">
        <f>(SUMIFS('Data'!$O$10:$O$26,'Data'!$E$10:$E$26,"Revenue")+SUMIFS('Data'!$P$10:$P$26,'Data'!$E$10:$E$26,"Revenue")+SUMIFS('Data'!$Q$10:$Q$26,'Data'!$E$10:$E$26,"Revenue"))</f>
        <v>0</v>
      </c>
      <c r="E25" s="21">
        <f>C25-D25</f>
        <v>0</v>
      </c>
      <c r="F25" s="24">
        <f>IF(ABS(C25-D25)&lt;0.5,"OK","FLAG")</f>
        <v>0</v>
      </c>
    </row>
    <row r="26" spans="2:6" ht="22" customHeight="1">
      <c r="B26" s="22" t="s">
        <v>107</v>
      </c>
      <c r="C26" s="23">
        <f>$D$17</f>
        <v>0</v>
      </c>
      <c r="D26" s="23">
        <f>(SUMIFS('Data'!$O$10:$O$26,'Data'!$E$10:$E$26,"Revenue")+SUMIFS('Data'!$P$10:$P$26,'Data'!$E$10:$E$26,"Revenue")+SUMIFS('Data'!$Q$10:$Q$26,'Data'!$E$10:$E$26,"Revenue"))-(SUMIFS('Data'!$O$10:$O$26,'Data'!$E$10:$E$26,"Cost of sales")+SUMIFS('Data'!$P$10:$P$26,'Data'!$E$10:$E$26,"Cost of sales")+SUMIFS('Data'!$Q$10:$Q$26,'Data'!$E$10:$E$26,"Cost of sales"))-(SUMIFS('Data'!$O$10:$O$26,'Data'!$E$10:$E$26,"Wages")+SUMIFS('Data'!$P$10:$P$26,'Data'!$E$10:$E$26,"Wages")+SUMIFS('Data'!$Q$10:$Q$26,'Data'!$E$10:$E$26,"Wages"))-(SUMIFS('Data'!$O$10:$O$26,'Data'!$E$10:$E$26,"Other opex")+SUMIFS('Data'!$P$10:$P$26,'Data'!$E$10:$E$26,"Other opex")+SUMIFS('Data'!$Q$10:$Q$26,'Data'!$E$10:$E$26,"Other opex"))-(SUMIFS('Data'!$O$10:$O$26,'Data'!$E$10:$E$26,"D&amp;A")+SUMIFS('Data'!$P$10:$P$26,'Data'!$E$10:$E$26,"D&amp;A")+SUMIFS('Data'!$Q$10:$Q$26,'Data'!$E$10:$E$26,"D&amp;A"))</f>
        <v>0</v>
      </c>
      <c r="E26" s="23">
        <f>C26-D26</f>
        <v>0</v>
      </c>
      <c r="F26" s="24">
        <f>IF(ABS(C26-D26)&lt;0.5,"OK","FLAG")</f>
        <v>0</v>
      </c>
    </row>
  </sheetData>
  <mergeCells count="3">
    <mergeCell ref="B2:H2"/>
    <mergeCell ref="B3:H3"/>
    <mergeCell ref="B5:I5"/>
  </mergeCells>
  <conditionalFormatting sqref="F10">
    <cfRule type="colorScale" priority="1">
      <colorScale>
        <cfvo type="min" val="0"/>
        <cfvo type="percentile" val="50"/>
        <cfvo type="max" val="0"/>
        <color rgb="FFFCE5E6"/>
        <color rgb="FFFFFFFF"/>
        <color rgb="FFE0F2E5"/>
      </colorScale>
    </cfRule>
  </conditionalFormatting>
  <conditionalFormatting sqref="F11">
    <cfRule type="colorScale" priority="2">
      <colorScale>
        <cfvo type="min" val="0"/>
        <cfvo type="percentile" val="50"/>
        <cfvo type="max" val="0"/>
        <color rgb="FFE0F2E5"/>
        <color rgb="FFFFFFFF"/>
        <color rgb="FFFCE5E6"/>
      </colorScale>
    </cfRule>
  </conditionalFormatting>
  <conditionalFormatting sqref="F25:F26">
    <cfRule type="containsText" dxfId="0" priority="3" operator="containsText" text="OK">
      <formula>NOT(ISERROR(SEARCH("OK",F25)))</formula>
    </cfRule>
    <cfRule type="containsText" dxfId="1" priority="4" operator="containsText" text="FLAG">
      <formula>NOT(ISERROR(SEARCH("FLAG",F25)))</formula>
    </cfRule>
  </conditionalFormatting>
  <printOptions horizontalCentered="1"/>
  <pageMargins left="0.4" right="0.4" top="0.5" bottom="0.6" header="0.2" footer="0.3"/>
  <pageSetup paperSize="9" fitToHeight="0" orientation="landscape"/>
  <headerFooter>
    <oddHeader>&amp;L&amp;"Arial"&amp;8&amp;K707070Lyros Accounting&amp;C&amp;"Arial"&amp;8&amp;K707070Quarter Comparison&amp;R&amp;"Arial"&amp;8&amp;K707070Page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3A9E6E"/>
    <pageSetUpPr fitToPage="1"/>
  </sheetPr>
  <dimension ref="A1:S29"/>
  <sheetViews>
    <sheetView showGridLines="0" workbookViewId="0"/>
  </sheetViews>
  <sheetFormatPr defaultRowHeight="15"/>
  <cols>
    <col min="1" max="1" width="2.7109375" customWidth="1"/>
    <col min="2" max="2" width="22.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108</v>
      </c>
      <c r="C2" s="11"/>
      <c r="D2" s="11"/>
      <c r="E2" s="11"/>
      <c r="F2" s="11"/>
      <c r="G2" s="11"/>
      <c r="H2" s="11"/>
      <c r="I2" s="11"/>
      <c r="J2" s="11"/>
      <c r="K2" s="11"/>
      <c r="L2" s="11"/>
      <c r="M2" s="11"/>
      <c r="N2" s="11"/>
      <c r="O2" s="11"/>
      <c r="P2" s="11"/>
      <c r="Q2" s="11"/>
      <c r="R2" s="1"/>
      <c r="S2" s="1"/>
    </row>
    <row r="3" spans="1:19" ht="26" customHeight="1">
      <c r="A3" s="1"/>
      <c r="B3" s="12" t="s">
        <v>109</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110</v>
      </c>
      <c r="C5" s="6"/>
      <c r="D5" s="6"/>
      <c r="E5" s="6"/>
      <c r="F5" s="6"/>
      <c r="G5" s="6"/>
      <c r="H5" s="6"/>
      <c r="I5" s="6"/>
      <c r="J5" s="6"/>
      <c r="K5" s="6"/>
      <c r="L5" s="6"/>
      <c r="M5" s="6"/>
      <c r="N5" s="6"/>
      <c r="O5" s="6"/>
      <c r="P5" s="6"/>
      <c r="Q5" s="6"/>
      <c r="R5" s="6"/>
    </row>
    <row r="7" spans="1:19" ht="14" customHeight="1">
      <c r="B7" s="3" t="s">
        <v>80</v>
      </c>
    </row>
    <row r="8" spans="1:19" ht="26" customHeight="1">
      <c r="B8" s="16" t="s">
        <v>111</v>
      </c>
    </row>
    <row r="9" spans="1:19" ht="26" customHeight="1">
      <c r="B9" s="18" t="s">
        <v>112</v>
      </c>
      <c r="C9" s="19" t="s">
        <v>53</v>
      </c>
      <c r="D9" s="19" t="s">
        <v>54</v>
      </c>
      <c r="E9" s="19" t="s">
        <v>55</v>
      </c>
      <c r="F9" s="19" t="s">
        <v>56</v>
      </c>
      <c r="G9" s="19" t="s">
        <v>57</v>
      </c>
      <c r="H9" s="19" t="s">
        <v>58</v>
      </c>
      <c r="I9" s="19" t="s">
        <v>59</v>
      </c>
      <c r="J9" s="19" t="s">
        <v>60</v>
      </c>
      <c r="K9" s="19" t="s">
        <v>61</v>
      </c>
      <c r="L9" s="19" t="s">
        <v>62</v>
      </c>
      <c r="M9" s="19" t="s">
        <v>63</v>
      </c>
      <c r="N9" s="19" t="s">
        <v>64</v>
      </c>
      <c r="O9" s="19" t="s">
        <v>113</v>
      </c>
    </row>
    <row r="10" spans="1:19" ht="20" customHeight="1">
      <c r="B10" s="20" t="s">
        <v>114</v>
      </c>
      <c r="C10" s="21">
        <f>(SUMIFS('Data'!$F$10:$F$26,'Data'!$E$10:$E$26,"Wages"))*'Internal Data Measures'!$C$17</f>
        <v>0</v>
      </c>
      <c r="D10" s="21">
        <f>(SUMIFS('Data'!$G$10:$G$26,'Data'!$E$10:$E$26,"Wages"))*'Internal Data Measures'!$C$17</f>
        <v>0</v>
      </c>
      <c r="E10" s="21">
        <f>(SUMIFS('Data'!$H$10:$H$26,'Data'!$E$10:$E$26,"Wages"))*'Internal Data Measures'!$C$17</f>
        <v>0</v>
      </c>
      <c r="F10" s="21">
        <f>(SUMIFS('Data'!$I$10:$I$26,'Data'!$E$10:$E$26,"Wages"))*'Internal Data Measures'!$C$17</f>
        <v>0</v>
      </c>
      <c r="G10" s="21">
        <f>(SUMIFS('Data'!$J$10:$J$26,'Data'!$E$10:$E$26,"Wages"))*'Internal Data Measures'!$C$17</f>
        <v>0</v>
      </c>
      <c r="H10" s="21">
        <f>(SUMIFS('Data'!$K$10:$K$26,'Data'!$E$10:$E$26,"Wages"))*'Internal Data Measures'!$C$17</f>
        <v>0</v>
      </c>
      <c r="I10" s="21">
        <f>(SUMIFS('Data'!$L$10:$L$26,'Data'!$E$10:$E$26,"Wages"))*'Internal Data Measures'!$C$17</f>
        <v>0</v>
      </c>
      <c r="J10" s="21">
        <f>(SUMIFS('Data'!$M$10:$M$26,'Data'!$E$10:$E$26,"Wages"))*'Internal Data Measures'!$C$17</f>
        <v>0</v>
      </c>
      <c r="K10" s="21">
        <f>(SUMIFS('Data'!$N$10:$N$26,'Data'!$E$10:$E$26,"Wages"))*'Internal Data Measures'!$C$17</f>
        <v>0</v>
      </c>
      <c r="L10" s="21">
        <f>(SUMIFS('Data'!$O$10:$O$26,'Data'!$E$10:$E$26,"Wages"))*'Internal Data Measures'!$C$17</f>
        <v>0</v>
      </c>
      <c r="M10" s="21">
        <f>(SUMIFS('Data'!$P$10:$P$26,'Data'!$E$10:$E$26,"Wages"))*'Internal Data Measures'!$C$17</f>
        <v>0</v>
      </c>
      <c r="N10" s="21">
        <f>(SUMIFS('Data'!$Q$10:$Q$26,'Data'!$E$10:$E$26,"Wages"))*'Internal Data Measures'!$C$17</f>
        <v>0</v>
      </c>
      <c r="O10" s="21">
        <f>(SUMIFS('Data'!$R$10:$R$26,'Data'!$E$10:$E$26,"Wages"))*'Internal Data Measures'!$C$17</f>
        <v>0</v>
      </c>
    </row>
    <row r="11" spans="1:19" ht="20" customHeight="1">
      <c r="B11" s="22" t="s">
        <v>115</v>
      </c>
      <c r="C11" s="23">
        <f>(SUMIFS('Data'!$F$10:$F$26,'Data'!$E$10:$E$26,"Wages"))*'Internal Data Measures'!$C$18</f>
        <v>0</v>
      </c>
      <c r="D11" s="23">
        <f>(SUMIFS('Data'!$G$10:$G$26,'Data'!$E$10:$E$26,"Wages"))*'Internal Data Measures'!$C$18</f>
        <v>0</v>
      </c>
      <c r="E11" s="23">
        <f>(SUMIFS('Data'!$H$10:$H$26,'Data'!$E$10:$E$26,"Wages"))*'Internal Data Measures'!$C$18</f>
        <v>0</v>
      </c>
      <c r="F11" s="23">
        <f>(SUMIFS('Data'!$I$10:$I$26,'Data'!$E$10:$E$26,"Wages"))*'Internal Data Measures'!$C$18</f>
        <v>0</v>
      </c>
      <c r="G11" s="23">
        <f>(SUMIFS('Data'!$J$10:$J$26,'Data'!$E$10:$E$26,"Wages"))*'Internal Data Measures'!$C$18</f>
        <v>0</v>
      </c>
      <c r="H11" s="23">
        <f>(SUMIFS('Data'!$K$10:$K$26,'Data'!$E$10:$E$26,"Wages"))*'Internal Data Measures'!$C$18</f>
        <v>0</v>
      </c>
      <c r="I11" s="23">
        <f>(SUMIFS('Data'!$L$10:$L$26,'Data'!$E$10:$E$26,"Wages"))*'Internal Data Measures'!$C$18</f>
        <v>0</v>
      </c>
      <c r="J11" s="23">
        <f>(SUMIFS('Data'!$M$10:$M$26,'Data'!$E$10:$E$26,"Wages"))*'Internal Data Measures'!$C$18</f>
        <v>0</v>
      </c>
      <c r="K11" s="23">
        <f>(SUMIFS('Data'!$N$10:$N$26,'Data'!$E$10:$E$26,"Wages"))*'Internal Data Measures'!$C$18</f>
        <v>0</v>
      </c>
      <c r="L11" s="23">
        <f>(SUMIFS('Data'!$O$10:$O$26,'Data'!$E$10:$E$26,"Wages"))*'Internal Data Measures'!$C$18</f>
        <v>0</v>
      </c>
      <c r="M11" s="23">
        <f>(SUMIFS('Data'!$P$10:$P$26,'Data'!$E$10:$E$26,"Wages"))*'Internal Data Measures'!$C$18</f>
        <v>0</v>
      </c>
      <c r="N11" s="23">
        <f>(SUMIFS('Data'!$Q$10:$Q$26,'Data'!$E$10:$E$26,"Wages"))*'Internal Data Measures'!$C$18</f>
        <v>0</v>
      </c>
      <c r="O11" s="23">
        <f>(SUMIFS('Data'!$R$10:$R$26,'Data'!$E$10:$E$26,"Wages"))*'Internal Data Measures'!$C$18</f>
        <v>0</v>
      </c>
    </row>
    <row r="12" spans="1:19" ht="20" customHeight="1">
      <c r="B12" s="20" t="s">
        <v>116</v>
      </c>
      <c r="C12" s="21">
        <f>(SUMIFS('Data'!$F$10:$F$26,'Data'!$E$10:$E$26,"Wages"))*'Internal Data Measures'!$C$19</f>
        <v>0</v>
      </c>
      <c r="D12" s="21">
        <f>(SUMIFS('Data'!$G$10:$G$26,'Data'!$E$10:$E$26,"Wages"))*'Internal Data Measures'!$C$19</f>
        <v>0</v>
      </c>
      <c r="E12" s="21">
        <f>(SUMIFS('Data'!$H$10:$H$26,'Data'!$E$10:$E$26,"Wages"))*'Internal Data Measures'!$C$19</f>
        <v>0</v>
      </c>
      <c r="F12" s="21">
        <f>(SUMIFS('Data'!$I$10:$I$26,'Data'!$E$10:$E$26,"Wages"))*'Internal Data Measures'!$C$19</f>
        <v>0</v>
      </c>
      <c r="G12" s="21">
        <f>(SUMIFS('Data'!$J$10:$J$26,'Data'!$E$10:$E$26,"Wages"))*'Internal Data Measures'!$C$19</f>
        <v>0</v>
      </c>
      <c r="H12" s="21">
        <f>(SUMIFS('Data'!$K$10:$K$26,'Data'!$E$10:$E$26,"Wages"))*'Internal Data Measures'!$C$19</f>
        <v>0</v>
      </c>
      <c r="I12" s="21">
        <f>(SUMIFS('Data'!$L$10:$L$26,'Data'!$E$10:$E$26,"Wages"))*'Internal Data Measures'!$C$19</f>
        <v>0</v>
      </c>
      <c r="J12" s="21">
        <f>(SUMIFS('Data'!$M$10:$M$26,'Data'!$E$10:$E$26,"Wages"))*'Internal Data Measures'!$C$19</f>
        <v>0</v>
      </c>
      <c r="K12" s="21">
        <f>(SUMIFS('Data'!$N$10:$N$26,'Data'!$E$10:$E$26,"Wages"))*'Internal Data Measures'!$C$19</f>
        <v>0</v>
      </c>
      <c r="L12" s="21">
        <f>(SUMIFS('Data'!$O$10:$O$26,'Data'!$E$10:$E$26,"Wages"))*'Internal Data Measures'!$C$19</f>
        <v>0</v>
      </c>
      <c r="M12" s="21">
        <f>(SUMIFS('Data'!$P$10:$P$26,'Data'!$E$10:$E$26,"Wages"))*'Internal Data Measures'!$C$19</f>
        <v>0</v>
      </c>
      <c r="N12" s="21">
        <f>(SUMIFS('Data'!$Q$10:$Q$26,'Data'!$E$10:$E$26,"Wages"))*'Internal Data Measures'!$C$19</f>
        <v>0</v>
      </c>
      <c r="O12" s="21">
        <f>(SUMIFS('Data'!$R$10:$R$26,'Data'!$E$10:$E$26,"Wages"))*'Internal Data Measures'!$C$19</f>
        <v>0</v>
      </c>
    </row>
    <row r="13" spans="1:19" ht="20" customHeight="1">
      <c r="B13" s="22" t="s">
        <v>117</v>
      </c>
      <c r="C13" s="23">
        <f>(SUMIFS('Data'!$F$10:$F$26,'Data'!$E$10:$E$26,"Wages"))*'Internal Data Measures'!$C$20</f>
        <v>0</v>
      </c>
      <c r="D13" s="23">
        <f>(SUMIFS('Data'!$G$10:$G$26,'Data'!$E$10:$E$26,"Wages"))*'Internal Data Measures'!$C$20</f>
        <v>0</v>
      </c>
      <c r="E13" s="23">
        <f>(SUMIFS('Data'!$H$10:$H$26,'Data'!$E$10:$E$26,"Wages"))*'Internal Data Measures'!$C$20</f>
        <v>0</v>
      </c>
      <c r="F13" s="23">
        <f>(SUMIFS('Data'!$I$10:$I$26,'Data'!$E$10:$E$26,"Wages"))*'Internal Data Measures'!$C$20</f>
        <v>0</v>
      </c>
      <c r="G13" s="23">
        <f>(SUMIFS('Data'!$J$10:$J$26,'Data'!$E$10:$E$26,"Wages"))*'Internal Data Measures'!$C$20</f>
        <v>0</v>
      </c>
      <c r="H13" s="23">
        <f>(SUMIFS('Data'!$K$10:$K$26,'Data'!$E$10:$E$26,"Wages"))*'Internal Data Measures'!$C$20</f>
        <v>0</v>
      </c>
      <c r="I13" s="23">
        <f>(SUMIFS('Data'!$L$10:$L$26,'Data'!$E$10:$E$26,"Wages"))*'Internal Data Measures'!$C$20</f>
        <v>0</v>
      </c>
      <c r="J13" s="23">
        <f>(SUMIFS('Data'!$M$10:$M$26,'Data'!$E$10:$E$26,"Wages"))*'Internal Data Measures'!$C$20</f>
        <v>0</v>
      </c>
      <c r="K13" s="23">
        <f>(SUMIFS('Data'!$N$10:$N$26,'Data'!$E$10:$E$26,"Wages"))*'Internal Data Measures'!$C$20</f>
        <v>0</v>
      </c>
      <c r="L13" s="23">
        <f>(SUMIFS('Data'!$O$10:$O$26,'Data'!$E$10:$E$26,"Wages"))*'Internal Data Measures'!$C$20</f>
        <v>0</v>
      </c>
      <c r="M13" s="23">
        <f>(SUMIFS('Data'!$P$10:$P$26,'Data'!$E$10:$E$26,"Wages"))*'Internal Data Measures'!$C$20</f>
        <v>0</v>
      </c>
      <c r="N13" s="23">
        <f>(SUMIFS('Data'!$Q$10:$Q$26,'Data'!$E$10:$E$26,"Wages"))*'Internal Data Measures'!$C$20</f>
        <v>0</v>
      </c>
      <c r="O13" s="23">
        <f>(SUMIFS('Data'!$R$10:$R$26,'Data'!$E$10:$E$26,"Wages"))*'Internal Data Measures'!$C$20</f>
        <v>0</v>
      </c>
    </row>
    <row r="14" spans="1:19" ht="20" customHeight="1">
      <c r="B14" s="20" t="s">
        <v>118</v>
      </c>
      <c r="C14" s="21">
        <f>(SUMIFS('Data'!$F$10:$F$26,'Data'!$E$10:$E$26,"Wages"))*'Internal Data Measures'!$C$21</f>
        <v>0</v>
      </c>
      <c r="D14" s="21">
        <f>(SUMIFS('Data'!$G$10:$G$26,'Data'!$E$10:$E$26,"Wages"))*'Internal Data Measures'!$C$21</f>
        <v>0</v>
      </c>
      <c r="E14" s="21">
        <f>(SUMIFS('Data'!$H$10:$H$26,'Data'!$E$10:$E$26,"Wages"))*'Internal Data Measures'!$C$21</f>
        <v>0</v>
      </c>
      <c r="F14" s="21">
        <f>(SUMIFS('Data'!$I$10:$I$26,'Data'!$E$10:$E$26,"Wages"))*'Internal Data Measures'!$C$21</f>
        <v>0</v>
      </c>
      <c r="G14" s="21">
        <f>(SUMIFS('Data'!$J$10:$J$26,'Data'!$E$10:$E$26,"Wages"))*'Internal Data Measures'!$C$21</f>
        <v>0</v>
      </c>
      <c r="H14" s="21">
        <f>(SUMIFS('Data'!$K$10:$K$26,'Data'!$E$10:$E$26,"Wages"))*'Internal Data Measures'!$C$21</f>
        <v>0</v>
      </c>
      <c r="I14" s="21">
        <f>(SUMIFS('Data'!$L$10:$L$26,'Data'!$E$10:$E$26,"Wages"))*'Internal Data Measures'!$C$21</f>
        <v>0</v>
      </c>
      <c r="J14" s="21">
        <f>(SUMIFS('Data'!$M$10:$M$26,'Data'!$E$10:$E$26,"Wages"))*'Internal Data Measures'!$C$21</f>
        <v>0</v>
      </c>
      <c r="K14" s="21">
        <f>(SUMIFS('Data'!$N$10:$N$26,'Data'!$E$10:$E$26,"Wages"))*'Internal Data Measures'!$C$21</f>
        <v>0</v>
      </c>
      <c r="L14" s="21">
        <f>(SUMIFS('Data'!$O$10:$O$26,'Data'!$E$10:$E$26,"Wages"))*'Internal Data Measures'!$C$21</f>
        <v>0</v>
      </c>
      <c r="M14" s="21">
        <f>(SUMIFS('Data'!$P$10:$P$26,'Data'!$E$10:$E$26,"Wages"))*'Internal Data Measures'!$C$21</f>
        <v>0</v>
      </c>
      <c r="N14" s="21">
        <f>(SUMIFS('Data'!$Q$10:$Q$26,'Data'!$E$10:$E$26,"Wages"))*'Internal Data Measures'!$C$21</f>
        <v>0</v>
      </c>
      <c r="O14" s="21">
        <f>(SUMIFS('Data'!$R$10:$R$26,'Data'!$E$10:$E$26,"Wages"))*'Internal Data Measures'!$C$21</f>
        <v>0</v>
      </c>
    </row>
    <row r="15" spans="1:19" ht="24" customHeight="1">
      <c r="B15" s="28" t="s">
        <v>119</v>
      </c>
      <c r="C15" s="29">
        <f>SUMIFS('Data'!$F$10:$F$26,'Data'!$E$10:$E$26,"Wages")</f>
        <v>0</v>
      </c>
      <c r="D15" s="29">
        <f>SUMIFS('Data'!$G$10:$G$26,'Data'!$E$10:$E$26,"Wages")</f>
        <v>0</v>
      </c>
      <c r="E15" s="29">
        <f>SUMIFS('Data'!$H$10:$H$26,'Data'!$E$10:$E$26,"Wages")</f>
        <v>0</v>
      </c>
      <c r="F15" s="29">
        <f>SUMIFS('Data'!$I$10:$I$26,'Data'!$E$10:$E$26,"Wages")</f>
        <v>0</v>
      </c>
      <c r="G15" s="29">
        <f>SUMIFS('Data'!$J$10:$J$26,'Data'!$E$10:$E$26,"Wages")</f>
        <v>0</v>
      </c>
      <c r="H15" s="29">
        <f>SUMIFS('Data'!$K$10:$K$26,'Data'!$E$10:$E$26,"Wages")</f>
        <v>0</v>
      </c>
      <c r="I15" s="29">
        <f>SUMIFS('Data'!$L$10:$L$26,'Data'!$E$10:$E$26,"Wages")</f>
        <v>0</v>
      </c>
      <c r="J15" s="29">
        <f>SUMIFS('Data'!$M$10:$M$26,'Data'!$E$10:$E$26,"Wages")</f>
        <v>0</v>
      </c>
      <c r="K15" s="29">
        <f>SUMIFS('Data'!$N$10:$N$26,'Data'!$E$10:$E$26,"Wages")</f>
        <v>0</v>
      </c>
      <c r="L15" s="29">
        <f>SUMIFS('Data'!$O$10:$O$26,'Data'!$E$10:$E$26,"Wages")</f>
        <v>0</v>
      </c>
      <c r="M15" s="29">
        <f>SUMIFS('Data'!$P$10:$P$26,'Data'!$E$10:$E$26,"Wages")</f>
        <v>0</v>
      </c>
      <c r="N15" s="29">
        <f>SUMIFS('Data'!$Q$10:$Q$26,'Data'!$E$10:$E$26,"Wages")</f>
        <v>0</v>
      </c>
      <c r="O15" s="29">
        <f>SUMIFS('Data'!$R$10:$R$26,'Data'!$E$10:$E$26,"Wages")</f>
        <v>0</v>
      </c>
    </row>
    <row r="17" spans="2:15" ht="14" customHeight="1">
      <c r="B17" s="3" t="s">
        <v>120</v>
      </c>
    </row>
    <row r="18" spans="2:15" ht="26" customHeight="1">
      <c r="B18" s="16" t="s">
        <v>121</v>
      </c>
    </row>
    <row r="19" spans="2:15" ht="26" customHeight="1">
      <c r="B19" s="18" t="s">
        <v>122</v>
      </c>
      <c r="C19" s="19" t="s">
        <v>53</v>
      </c>
      <c r="D19" s="19" t="s">
        <v>54</v>
      </c>
      <c r="E19" s="19" t="s">
        <v>55</v>
      </c>
      <c r="F19" s="19" t="s">
        <v>56</v>
      </c>
      <c r="G19" s="19" t="s">
        <v>57</v>
      </c>
      <c r="H19" s="19" t="s">
        <v>58</v>
      </c>
      <c r="I19" s="19" t="s">
        <v>59</v>
      </c>
      <c r="J19" s="19" t="s">
        <v>60</v>
      </c>
      <c r="K19" s="19" t="s">
        <v>61</v>
      </c>
      <c r="L19" s="19" t="s">
        <v>62</v>
      </c>
      <c r="M19" s="19" t="s">
        <v>63</v>
      </c>
      <c r="N19" s="19" t="s">
        <v>64</v>
      </c>
      <c r="O19" s="19" t="s">
        <v>123</v>
      </c>
    </row>
    <row r="20" spans="2:15" ht="20" customHeight="1">
      <c r="B20" s="25" t="s">
        <v>124</v>
      </c>
      <c r="C20" s="31">
        <f>IFERROR((SUMIFS('Data'!$F$10:$F$26,'Data'!$E$10:$E$26,"Wages"))/(SUMIFS('Data'!$F$10:$F$26,'Data'!$E$10:$E$26,"Revenue")),0)</f>
        <v>0</v>
      </c>
      <c r="D20" s="31">
        <f>IFERROR((SUMIFS('Data'!$G$10:$G$26,'Data'!$E$10:$E$26,"Wages"))/(SUMIFS('Data'!$G$10:$G$26,'Data'!$E$10:$E$26,"Revenue")),0)</f>
        <v>0</v>
      </c>
      <c r="E20" s="31">
        <f>IFERROR((SUMIFS('Data'!$H$10:$H$26,'Data'!$E$10:$E$26,"Wages"))/(SUMIFS('Data'!$H$10:$H$26,'Data'!$E$10:$E$26,"Revenue")),0)</f>
        <v>0</v>
      </c>
      <c r="F20" s="31">
        <f>IFERROR((SUMIFS('Data'!$I$10:$I$26,'Data'!$E$10:$E$26,"Wages"))/(SUMIFS('Data'!$I$10:$I$26,'Data'!$E$10:$E$26,"Revenue")),0)</f>
        <v>0</v>
      </c>
      <c r="G20" s="31">
        <f>IFERROR((SUMIFS('Data'!$J$10:$J$26,'Data'!$E$10:$E$26,"Wages"))/(SUMIFS('Data'!$J$10:$J$26,'Data'!$E$10:$E$26,"Revenue")),0)</f>
        <v>0</v>
      </c>
      <c r="H20" s="31">
        <f>IFERROR((SUMIFS('Data'!$K$10:$K$26,'Data'!$E$10:$E$26,"Wages"))/(SUMIFS('Data'!$K$10:$K$26,'Data'!$E$10:$E$26,"Revenue")),0)</f>
        <v>0</v>
      </c>
      <c r="I20" s="31">
        <f>IFERROR((SUMIFS('Data'!$L$10:$L$26,'Data'!$E$10:$E$26,"Wages"))/(SUMIFS('Data'!$L$10:$L$26,'Data'!$E$10:$E$26,"Revenue")),0)</f>
        <v>0</v>
      </c>
      <c r="J20" s="31">
        <f>IFERROR((SUMIFS('Data'!$M$10:$M$26,'Data'!$E$10:$E$26,"Wages"))/(SUMIFS('Data'!$M$10:$M$26,'Data'!$E$10:$E$26,"Revenue")),0)</f>
        <v>0</v>
      </c>
      <c r="K20" s="31">
        <f>IFERROR((SUMIFS('Data'!$N$10:$N$26,'Data'!$E$10:$E$26,"Wages"))/(SUMIFS('Data'!$N$10:$N$26,'Data'!$E$10:$E$26,"Revenue")),0)</f>
        <v>0</v>
      </c>
      <c r="L20" s="31">
        <f>IFERROR((SUMIFS('Data'!$O$10:$O$26,'Data'!$E$10:$E$26,"Wages"))/(SUMIFS('Data'!$O$10:$O$26,'Data'!$E$10:$E$26,"Revenue")),0)</f>
        <v>0</v>
      </c>
      <c r="M20" s="31">
        <f>IFERROR((SUMIFS('Data'!$P$10:$P$26,'Data'!$E$10:$E$26,"Wages"))/(SUMIFS('Data'!$P$10:$P$26,'Data'!$E$10:$E$26,"Revenue")),0)</f>
        <v>0</v>
      </c>
      <c r="N20" s="31">
        <f>IFERROR((SUMIFS('Data'!$Q$10:$Q$26,'Data'!$E$10:$E$26,"Wages"))/(SUMIFS('Data'!$Q$10:$Q$26,'Data'!$E$10:$E$26,"Revenue")),0)</f>
        <v>0</v>
      </c>
      <c r="O20" s="31">
        <f>IFERROR((SUMIFS('Data'!$R$10:$R$26,'Data'!$E$10:$E$26,"Wages"))/(SUMIFS('Data'!$R$10:$R$26,'Data'!$E$10:$E$26,"Revenue")),0)</f>
        <v>0</v>
      </c>
    </row>
    <row r="22" spans="2:15" ht="18" customHeight="1">
      <c r="B22" s="8" t="s">
        <v>125</v>
      </c>
      <c r="C22" s="34" t="s">
        <v>101</v>
      </c>
      <c r="D22" s="33" t="s">
        <v>102</v>
      </c>
      <c r="E22" s="32" t="s">
        <v>103</v>
      </c>
      <c r="F22" s="8" t="s">
        <v>104</v>
      </c>
    </row>
    <row r="25" spans="2:15" ht="14" customHeight="1">
      <c r="B25" s="3" t="s">
        <v>69</v>
      </c>
    </row>
    <row r="26" spans="2:15" ht="26" customHeight="1">
      <c r="B26" s="16" t="s">
        <v>70</v>
      </c>
    </row>
    <row r="27" spans="2:15" ht="26" customHeight="1">
      <c r="B27" s="18" t="s">
        <v>71</v>
      </c>
      <c r="C27" s="19" t="s">
        <v>72</v>
      </c>
      <c r="D27" s="19" t="s">
        <v>73</v>
      </c>
      <c r="E27" s="19" t="s">
        <v>74</v>
      </c>
      <c r="F27" s="19" t="s">
        <v>75</v>
      </c>
    </row>
    <row r="28" spans="2:15" ht="22" customHeight="1">
      <c r="B28" s="20" t="s">
        <v>126</v>
      </c>
      <c r="C28" s="21">
        <f>SUM($O$10:$O$14)</f>
        <v>0</v>
      </c>
      <c r="D28" s="21">
        <f>$O$15</f>
        <v>0</v>
      </c>
      <c r="E28" s="21">
        <f>C28-D28</f>
        <v>0</v>
      </c>
      <c r="F28" s="24">
        <f>IF(ABS(C28-D28)&lt;0.5,"OK","FLAG")</f>
        <v>0</v>
      </c>
    </row>
    <row r="29" spans="2:15" ht="22" customHeight="1">
      <c r="B29" s="22" t="s">
        <v>127</v>
      </c>
      <c r="C29" s="30">
        <f>SUM('Internal Data Measures'!$C$17:$C$21)</f>
        <v>0</v>
      </c>
      <c r="D29" s="30">
        <f>1</f>
        <v>0</v>
      </c>
      <c r="E29" s="30">
        <f>C29-D29</f>
        <v>0</v>
      </c>
      <c r="F29" s="24">
        <f>IF(ABS(C29-D29)&lt;0.0001,"OK","FLAG")</f>
        <v>0</v>
      </c>
    </row>
  </sheetData>
  <mergeCells count="3">
    <mergeCell ref="B2:Q2"/>
    <mergeCell ref="B3:Q3"/>
    <mergeCell ref="B5:R5"/>
  </mergeCells>
  <conditionalFormatting sqref="C20:N20">
    <cfRule type="colorScale" priority="1">
      <colorScale>
        <cfvo type="min" val="0"/>
        <cfvo type="percentile" val="50"/>
        <cfvo type="max" val="0"/>
        <color rgb="FFE0F2E5"/>
        <color rgb="FFFFFFFF"/>
        <color rgb="FFFCE5E6"/>
      </colorScale>
    </cfRule>
  </conditionalFormatting>
  <conditionalFormatting sqref="F28:F29">
    <cfRule type="containsText" dxfId="0" priority="2" operator="containsText" text="OK">
      <formula>NOT(ISERROR(SEARCH("OK",F28)))</formula>
    </cfRule>
    <cfRule type="containsText" dxfId="1" priority="3" operator="containsText" text="FLAG">
      <formula>NOT(ISERROR(SEARCH("FLAG",F28)))</formula>
    </cfRule>
  </conditionalFormatting>
  <printOptions horizontalCentered="1"/>
  <pageMargins left="0.4" right="0.4" top="0.5" bottom="0.6" header="0.2" footer="0.3"/>
  <pageSetup paperSize="9" fitToHeight="0" orientation="landscape"/>
  <headerFooter>
    <oddHeader>&amp;L&amp;"Arial"&amp;8&amp;K707070Lyros Accounting&amp;C&amp;"Arial"&amp;8&amp;K707070Wages&amp;R&amp;"Arial"&amp;8&amp;K707070Page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3A9E6E"/>
    <pageSetUpPr fitToPage="1"/>
  </sheetPr>
  <dimension ref="A1:S22"/>
  <sheetViews>
    <sheetView showGridLines="0" workbookViewId="0"/>
  </sheetViews>
  <sheetFormatPr defaultRowHeight="15"/>
  <cols>
    <col min="1" max="1" width="2.7109375" customWidth="1"/>
    <col min="2" max="2" width="30.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128</v>
      </c>
      <c r="C2" s="11"/>
      <c r="D2" s="11"/>
      <c r="E2" s="11"/>
      <c r="F2" s="11"/>
      <c r="G2" s="11"/>
      <c r="H2" s="11"/>
      <c r="I2" s="11"/>
      <c r="J2" s="11"/>
      <c r="K2" s="11"/>
      <c r="L2" s="11"/>
      <c r="M2" s="11"/>
      <c r="N2" s="11"/>
      <c r="O2" s="11"/>
      <c r="P2" s="11"/>
      <c r="Q2" s="11"/>
      <c r="R2" s="1"/>
      <c r="S2" s="1"/>
    </row>
    <row r="3" spans="1:19" ht="26" customHeight="1">
      <c r="A3" s="1"/>
      <c r="B3" s="12" t="s">
        <v>129</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130</v>
      </c>
      <c r="C5" s="6"/>
      <c r="D5" s="6"/>
      <c r="E5" s="6"/>
      <c r="F5" s="6"/>
      <c r="G5" s="6"/>
      <c r="H5" s="6"/>
      <c r="I5" s="6"/>
      <c r="J5" s="6"/>
      <c r="K5" s="6"/>
      <c r="L5" s="6"/>
      <c r="M5" s="6"/>
      <c r="N5" s="6"/>
      <c r="O5" s="6"/>
      <c r="P5" s="6"/>
      <c r="Q5" s="6"/>
      <c r="R5" s="6"/>
    </row>
    <row r="7" spans="1:19" ht="14" customHeight="1">
      <c r="B7" s="3" t="s">
        <v>131</v>
      </c>
    </row>
    <row r="8" spans="1:19" ht="26" customHeight="1">
      <c r="B8" s="16" t="s">
        <v>132</v>
      </c>
    </row>
    <row r="9" spans="1:19" ht="26" customHeight="1">
      <c r="B9" s="18" t="s">
        <v>122</v>
      </c>
      <c r="C9" s="19" t="s">
        <v>53</v>
      </c>
      <c r="D9" s="19" t="s">
        <v>54</v>
      </c>
      <c r="E9" s="19" t="s">
        <v>55</v>
      </c>
      <c r="F9" s="19" t="s">
        <v>56</v>
      </c>
      <c r="G9" s="19" t="s">
        <v>57</v>
      </c>
      <c r="H9" s="19" t="s">
        <v>58</v>
      </c>
      <c r="I9" s="19" t="s">
        <v>59</v>
      </c>
      <c r="J9" s="19" t="s">
        <v>60</v>
      </c>
      <c r="K9" s="19" t="s">
        <v>61</v>
      </c>
      <c r="L9" s="19" t="s">
        <v>62</v>
      </c>
      <c r="M9" s="19" t="s">
        <v>63</v>
      </c>
      <c r="N9" s="19" t="s">
        <v>64</v>
      </c>
      <c r="O9" s="19" t="s">
        <v>133</v>
      </c>
    </row>
    <row r="10" spans="1:19" ht="20" customHeight="1">
      <c r="B10" s="22" t="s">
        <v>134</v>
      </c>
      <c r="C10" s="35">
        <f>'Internal Data Measures'!C9</f>
        <v>0</v>
      </c>
      <c r="D10" s="35">
        <f>'Internal Data Measures'!D9</f>
        <v>0</v>
      </c>
      <c r="E10" s="35">
        <f>'Internal Data Measures'!E9</f>
        <v>0</v>
      </c>
      <c r="F10" s="35">
        <f>'Internal Data Measures'!F9</f>
        <v>0</v>
      </c>
      <c r="G10" s="35">
        <f>'Internal Data Measures'!G9</f>
        <v>0</v>
      </c>
      <c r="H10" s="35">
        <f>'Internal Data Measures'!H9</f>
        <v>0</v>
      </c>
      <c r="I10" s="35">
        <f>'Internal Data Measures'!I9</f>
        <v>0</v>
      </c>
      <c r="J10" s="35">
        <f>'Internal Data Measures'!J9</f>
        <v>0</v>
      </c>
      <c r="K10" s="35">
        <f>'Internal Data Measures'!K9</f>
        <v>0</v>
      </c>
      <c r="L10" s="35">
        <f>'Internal Data Measures'!L9</f>
        <v>0</v>
      </c>
      <c r="M10" s="35">
        <f>'Internal Data Measures'!M9</f>
        <v>0</v>
      </c>
      <c r="N10" s="35">
        <f>'Internal Data Measures'!N9</f>
        <v>0</v>
      </c>
      <c r="O10" s="35">
        <f>AVERAGE('Internal Data Measures'!C9:N9)</f>
        <v>0</v>
      </c>
    </row>
    <row r="11" spans="1:19" ht="20" customHeight="1">
      <c r="B11" s="20" t="s">
        <v>135</v>
      </c>
      <c r="C11" s="36">
        <f>'Internal Data Measures'!C10</f>
        <v>0</v>
      </c>
      <c r="D11" s="36">
        <f>'Internal Data Measures'!D10</f>
        <v>0</v>
      </c>
      <c r="E11" s="36">
        <f>'Internal Data Measures'!E10</f>
        <v>0</v>
      </c>
      <c r="F11" s="36">
        <f>'Internal Data Measures'!F10</f>
        <v>0</v>
      </c>
      <c r="G11" s="36">
        <f>'Internal Data Measures'!G10</f>
        <v>0</v>
      </c>
      <c r="H11" s="36">
        <f>'Internal Data Measures'!H10</f>
        <v>0</v>
      </c>
      <c r="I11" s="36">
        <f>'Internal Data Measures'!I10</f>
        <v>0</v>
      </c>
      <c r="J11" s="36">
        <f>'Internal Data Measures'!J10</f>
        <v>0</v>
      </c>
      <c r="K11" s="36">
        <f>'Internal Data Measures'!K10</f>
        <v>0</v>
      </c>
      <c r="L11" s="36">
        <f>'Internal Data Measures'!L10</f>
        <v>0</v>
      </c>
      <c r="M11" s="36">
        <f>'Internal Data Measures'!M10</f>
        <v>0</v>
      </c>
      <c r="N11" s="36">
        <f>'Internal Data Measures'!N10</f>
        <v>0</v>
      </c>
      <c r="O11" s="36">
        <f>AVERAGE('Internal Data Measures'!C10:N10)</f>
        <v>0</v>
      </c>
    </row>
    <row r="12" spans="1:19" ht="20" customHeight="1">
      <c r="B12" s="22" t="s">
        <v>136</v>
      </c>
      <c r="C12" s="35">
        <f>'Internal Data Measures'!C11</f>
        <v>0</v>
      </c>
      <c r="D12" s="35">
        <f>'Internal Data Measures'!D11</f>
        <v>0</v>
      </c>
      <c r="E12" s="35">
        <f>'Internal Data Measures'!E11</f>
        <v>0</v>
      </c>
      <c r="F12" s="35">
        <f>'Internal Data Measures'!F11</f>
        <v>0</v>
      </c>
      <c r="G12" s="35">
        <f>'Internal Data Measures'!G11</f>
        <v>0</v>
      </c>
      <c r="H12" s="35">
        <f>'Internal Data Measures'!H11</f>
        <v>0</v>
      </c>
      <c r="I12" s="35">
        <f>'Internal Data Measures'!I11</f>
        <v>0</v>
      </c>
      <c r="J12" s="35">
        <f>'Internal Data Measures'!J11</f>
        <v>0</v>
      </c>
      <c r="K12" s="35">
        <f>'Internal Data Measures'!K11</f>
        <v>0</v>
      </c>
      <c r="L12" s="35">
        <f>'Internal Data Measures'!L11</f>
        <v>0</v>
      </c>
      <c r="M12" s="35">
        <f>'Internal Data Measures'!M11</f>
        <v>0</v>
      </c>
      <c r="N12" s="35">
        <f>'Internal Data Measures'!N11</f>
        <v>0</v>
      </c>
      <c r="O12" s="35">
        <f>AVERAGE('Internal Data Measures'!C11:N11)</f>
        <v>0</v>
      </c>
    </row>
    <row r="13" spans="1:19" ht="24" customHeight="1">
      <c r="B13" s="28" t="s">
        <v>137</v>
      </c>
      <c r="C13" s="37">
        <f>'Internal Data Measures'!C12</f>
        <v>0</v>
      </c>
      <c r="D13" s="37">
        <f>'Internal Data Measures'!D12</f>
        <v>0</v>
      </c>
      <c r="E13" s="37">
        <f>'Internal Data Measures'!E12</f>
        <v>0</v>
      </c>
      <c r="F13" s="37">
        <f>'Internal Data Measures'!F12</f>
        <v>0</v>
      </c>
      <c r="G13" s="37">
        <f>'Internal Data Measures'!G12</f>
        <v>0</v>
      </c>
      <c r="H13" s="37">
        <f>'Internal Data Measures'!H12</f>
        <v>0</v>
      </c>
      <c r="I13" s="37">
        <f>'Internal Data Measures'!I12</f>
        <v>0</v>
      </c>
      <c r="J13" s="37">
        <f>'Internal Data Measures'!J12</f>
        <v>0</v>
      </c>
      <c r="K13" s="37">
        <f>'Internal Data Measures'!K12</f>
        <v>0</v>
      </c>
      <c r="L13" s="37">
        <f>'Internal Data Measures'!L12</f>
        <v>0</v>
      </c>
      <c r="M13" s="37">
        <f>'Internal Data Measures'!M12</f>
        <v>0</v>
      </c>
      <c r="N13" s="37">
        <f>'Internal Data Measures'!N12</f>
        <v>0</v>
      </c>
      <c r="O13" s="37">
        <f>AVERAGE('Internal Data Measures'!C12:N12)</f>
        <v>0</v>
      </c>
    </row>
    <row r="15" spans="1:19" ht="18" customHeight="1">
      <c r="B15" s="8" t="s">
        <v>138</v>
      </c>
      <c r="C15" s="34" t="s">
        <v>101</v>
      </c>
      <c r="D15" s="33" t="s">
        <v>102</v>
      </c>
      <c r="E15" s="32" t="s">
        <v>103</v>
      </c>
      <c r="F15" s="8" t="s">
        <v>104</v>
      </c>
    </row>
    <row r="16" spans="1:19" ht="18" customHeight="1">
      <c r="B16" s="8" t="s">
        <v>139</v>
      </c>
      <c r="C16" s="32" t="s">
        <v>101</v>
      </c>
      <c r="D16" s="33" t="s">
        <v>102</v>
      </c>
      <c r="E16" s="34" t="s">
        <v>103</v>
      </c>
      <c r="F16" s="8" t="s">
        <v>104</v>
      </c>
    </row>
    <row r="18" spans="2:6" ht="14" customHeight="1">
      <c r="B18" s="3" t="s">
        <v>69</v>
      </c>
    </row>
    <row r="19" spans="2:6" ht="26" customHeight="1">
      <c r="B19" s="16" t="s">
        <v>70</v>
      </c>
    </row>
    <row r="20" spans="2:6" ht="26" customHeight="1">
      <c r="B20" s="18" t="s">
        <v>71</v>
      </c>
      <c r="C20" s="19" t="s">
        <v>72</v>
      </c>
      <c r="D20" s="19" t="s">
        <v>73</v>
      </c>
      <c r="E20" s="19" t="s">
        <v>74</v>
      </c>
      <c r="F20" s="19" t="s">
        <v>75</v>
      </c>
    </row>
    <row r="21" spans="2:6" ht="22" customHeight="1">
      <c r="B21" s="20" t="s">
        <v>140</v>
      </c>
      <c r="C21" s="21">
        <f>$N$13</f>
        <v>0</v>
      </c>
      <c r="D21" s="21">
        <f>$N$10+$N$12-$N$11</f>
        <v>0</v>
      </c>
      <c r="E21" s="21">
        <f>C21-D21</f>
        <v>0</v>
      </c>
      <c r="F21" s="24">
        <f>IF(ABS(C21-D21)&lt;0.5,"OK","FLAG")</f>
        <v>0</v>
      </c>
    </row>
    <row r="22" spans="2:6" ht="22" customHeight="1">
      <c r="B22" s="22" t="s">
        <v>141</v>
      </c>
      <c r="C22" s="23">
        <f>$O$13</f>
        <v>0</v>
      </c>
      <c r="D22" s="23">
        <f>AVERAGE($C$13:$N$13)</f>
        <v>0</v>
      </c>
      <c r="E22" s="23">
        <f>C22-D22</f>
        <v>0</v>
      </c>
      <c r="F22" s="24">
        <f>IF(ABS(C22-D22)&lt;0.5,"OK","FLAG")</f>
        <v>0</v>
      </c>
    </row>
  </sheetData>
  <mergeCells count="3">
    <mergeCell ref="B2:Q2"/>
    <mergeCell ref="B3:Q3"/>
    <mergeCell ref="B5:R5"/>
  </mergeCells>
  <conditionalFormatting sqref="C10:N10">
    <cfRule type="colorScale" priority="1">
      <colorScale>
        <cfvo type="min" val="0"/>
        <cfvo type="percentile" val="50"/>
        <cfvo type="max" val="0"/>
        <color rgb="FFE0F2E5"/>
        <color rgb="FFFFFFFF"/>
        <color rgb="FFFCE5E6"/>
      </colorScale>
    </cfRule>
  </conditionalFormatting>
  <conditionalFormatting sqref="C11:N11">
    <cfRule type="colorScale" priority="2">
      <colorScale>
        <cfvo type="min" val="0"/>
        <cfvo type="percentile" val="50"/>
        <cfvo type="max" val="0"/>
        <color rgb="FFFCE5E6"/>
        <color rgb="FFFFFFFF"/>
        <color rgb="FFE0F2E5"/>
      </colorScale>
    </cfRule>
  </conditionalFormatting>
  <conditionalFormatting sqref="C12:N12">
    <cfRule type="colorScale" priority="3">
      <colorScale>
        <cfvo type="min" val="0"/>
        <cfvo type="percentile" val="50"/>
        <cfvo type="max" val="0"/>
        <color rgb="FFE0F2E5"/>
        <color rgb="FFFFFFFF"/>
        <color rgb="FFFCE5E6"/>
      </colorScale>
    </cfRule>
  </conditionalFormatting>
  <conditionalFormatting sqref="F21:F22">
    <cfRule type="containsText" dxfId="0" priority="4" operator="containsText" text="OK">
      <formula>NOT(ISERROR(SEARCH("OK",F21)))</formula>
    </cfRule>
    <cfRule type="containsText" dxfId="1" priority="5"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Accounting&amp;C&amp;"Arial"&amp;8&amp;K707070Working Capital&amp;R&amp;"Arial"&amp;8&amp;K707070Page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7.xml><?xml version="1.0" encoding="utf-8"?>
<worksheet xmlns="http://schemas.openxmlformats.org/spreadsheetml/2006/main" xmlns:r="http://schemas.openxmlformats.org/officeDocument/2006/relationships">
  <sheetPr>
    <tabColor rgb="FFF5A524"/>
    <pageSetUpPr fitToPage="1"/>
  </sheetPr>
  <dimension ref="A1:S36"/>
  <sheetViews>
    <sheetView showGridLines="0" workbookViewId="0"/>
  </sheetViews>
  <sheetFormatPr defaultRowHeight="15"/>
  <cols>
    <col min="1" max="1" width="2.7109375" customWidth="1"/>
    <col min="2" max="2" width="8.7109375" customWidth="1"/>
    <col min="3" max="3" width="28.7109375" customWidth="1"/>
    <col min="4" max="5" width="14.7109375" customWidth="1"/>
    <col min="6"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142</v>
      </c>
      <c r="C2" s="11"/>
      <c r="D2" s="11"/>
      <c r="E2" s="11"/>
      <c r="F2" s="11"/>
      <c r="G2" s="11"/>
      <c r="H2" s="11"/>
      <c r="I2" s="11"/>
      <c r="J2" s="11"/>
      <c r="K2" s="11"/>
      <c r="L2" s="11"/>
      <c r="M2" s="11"/>
      <c r="N2" s="11"/>
      <c r="O2" s="11"/>
      <c r="P2" s="11"/>
      <c r="Q2" s="11"/>
      <c r="R2" s="1"/>
      <c r="S2" s="1"/>
    </row>
    <row r="3" spans="1:19" ht="26" customHeight="1">
      <c r="A3" s="1"/>
      <c r="B3" s="12" t="s">
        <v>143</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144</v>
      </c>
      <c r="C5" s="6"/>
      <c r="D5" s="6"/>
      <c r="E5" s="6"/>
      <c r="F5" s="6"/>
      <c r="G5" s="6"/>
      <c r="H5" s="6"/>
      <c r="I5" s="6"/>
      <c r="J5" s="6"/>
      <c r="K5" s="6"/>
      <c r="L5" s="6"/>
      <c r="M5" s="6"/>
      <c r="N5" s="6"/>
      <c r="O5" s="6"/>
      <c r="P5" s="6"/>
      <c r="Q5" s="6"/>
      <c r="R5" s="6"/>
    </row>
    <row r="7" spans="1:19" ht="14" customHeight="1">
      <c r="B7" s="3" t="s">
        <v>145</v>
      </c>
    </row>
    <row r="8" spans="1:19" ht="26" customHeight="1">
      <c r="B8" s="16" t="s">
        <v>146</v>
      </c>
    </row>
    <row r="9" spans="1:19" ht="26" customHeight="1">
      <c r="B9" s="18" t="s">
        <v>147</v>
      </c>
      <c r="C9" s="18" t="s">
        <v>148</v>
      </c>
      <c r="D9" s="18" t="s">
        <v>149</v>
      </c>
      <c r="E9" s="18" t="s">
        <v>150</v>
      </c>
      <c r="F9" s="19" t="s">
        <v>53</v>
      </c>
      <c r="G9" s="19" t="s">
        <v>54</v>
      </c>
      <c r="H9" s="19" t="s">
        <v>55</v>
      </c>
      <c r="I9" s="19" t="s">
        <v>56</v>
      </c>
      <c r="J9" s="19" t="s">
        <v>57</v>
      </c>
      <c r="K9" s="19" t="s">
        <v>58</v>
      </c>
      <c r="L9" s="19" t="s">
        <v>59</v>
      </c>
      <c r="M9" s="19" t="s">
        <v>60</v>
      </c>
      <c r="N9" s="19" t="s">
        <v>61</v>
      </c>
      <c r="O9" s="19" t="s">
        <v>62</v>
      </c>
      <c r="P9" s="19" t="s">
        <v>63</v>
      </c>
      <c r="Q9" s="19" t="s">
        <v>64</v>
      </c>
      <c r="R9" s="19" t="s">
        <v>151</v>
      </c>
    </row>
    <row r="10" spans="1:19" ht="20" customHeight="1">
      <c r="B10" s="20" t="s">
        <v>152</v>
      </c>
      <c r="C10" s="20" t="s">
        <v>153</v>
      </c>
      <c r="D10" s="20" t="s">
        <v>66</v>
      </c>
      <c r="E10" s="17" t="s">
        <v>66</v>
      </c>
      <c r="F10" s="38">
        <v>167552</v>
      </c>
      <c r="G10" s="38">
        <v>162742</v>
      </c>
      <c r="H10" s="38">
        <v>152418</v>
      </c>
      <c r="I10" s="38">
        <v>184775</v>
      </c>
      <c r="J10" s="38">
        <v>164279</v>
      </c>
      <c r="K10" s="38">
        <v>152057</v>
      </c>
      <c r="L10" s="38">
        <v>189581</v>
      </c>
      <c r="M10" s="38">
        <v>184045</v>
      </c>
      <c r="N10" s="38">
        <v>165678</v>
      </c>
      <c r="O10" s="38">
        <v>204226</v>
      </c>
      <c r="P10" s="38">
        <v>186336</v>
      </c>
      <c r="Q10" s="38">
        <v>182822</v>
      </c>
      <c r="R10" s="26">
        <f>SUM($F$10:$Q$10)</f>
        <v>0</v>
      </c>
    </row>
    <row r="11" spans="1:19" ht="20" customHeight="1">
      <c r="B11" s="22" t="s">
        <v>154</v>
      </c>
      <c r="C11" s="22" t="s">
        <v>155</v>
      </c>
      <c r="D11" s="22" t="s">
        <v>66</v>
      </c>
      <c r="E11" s="17" t="s">
        <v>66</v>
      </c>
      <c r="F11" s="38">
        <v>119039</v>
      </c>
      <c r="G11" s="38">
        <v>108163</v>
      </c>
      <c r="H11" s="38">
        <v>109338</v>
      </c>
      <c r="I11" s="38">
        <v>128723</v>
      </c>
      <c r="J11" s="38">
        <v>110971</v>
      </c>
      <c r="K11" s="38">
        <v>103285</v>
      </c>
      <c r="L11" s="38">
        <v>129344</v>
      </c>
      <c r="M11" s="38">
        <v>123628</v>
      </c>
      <c r="N11" s="38">
        <v>117221</v>
      </c>
      <c r="O11" s="38">
        <v>143872</v>
      </c>
      <c r="P11" s="38">
        <v>127972</v>
      </c>
      <c r="Q11" s="38">
        <v>124284</v>
      </c>
      <c r="R11" s="26">
        <f>SUM($F$11:$Q$11)</f>
        <v>0</v>
      </c>
    </row>
    <row r="12" spans="1:19" ht="20" customHeight="1">
      <c r="B12" s="20" t="s">
        <v>156</v>
      </c>
      <c r="C12" s="20" t="s">
        <v>157</v>
      </c>
      <c r="D12" s="20" t="s">
        <v>66</v>
      </c>
      <c r="E12" s="17" t="s">
        <v>66</v>
      </c>
      <c r="F12" s="38">
        <v>43243</v>
      </c>
      <c r="G12" s="38">
        <v>36389</v>
      </c>
      <c r="H12" s="38">
        <v>34495</v>
      </c>
      <c r="I12" s="38">
        <v>46128</v>
      </c>
      <c r="J12" s="38">
        <v>41423</v>
      </c>
      <c r="K12" s="38">
        <v>37137</v>
      </c>
      <c r="L12" s="38">
        <v>49671</v>
      </c>
      <c r="M12" s="38">
        <v>47614</v>
      </c>
      <c r="N12" s="38">
        <v>43751</v>
      </c>
      <c r="O12" s="38">
        <v>50679</v>
      </c>
      <c r="P12" s="38">
        <v>43041</v>
      </c>
      <c r="Q12" s="38">
        <v>39550</v>
      </c>
      <c r="R12" s="26">
        <f>SUM($F$12:$Q$12)</f>
        <v>0</v>
      </c>
    </row>
    <row r="13" spans="1:19" ht="20" customHeight="1">
      <c r="B13" s="22" t="s">
        <v>158</v>
      </c>
      <c r="C13" s="22" t="s">
        <v>159</v>
      </c>
      <c r="D13" s="22" t="s">
        <v>159</v>
      </c>
      <c r="E13" s="17" t="s">
        <v>66</v>
      </c>
      <c r="F13" s="38">
        <v>9768</v>
      </c>
      <c r="G13" s="38">
        <v>10843</v>
      </c>
      <c r="H13" s="38">
        <v>13200</v>
      </c>
      <c r="I13" s="38">
        <v>7749</v>
      </c>
      <c r="J13" s="38">
        <v>9909</v>
      </c>
      <c r="K13" s="38">
        <v>5565</v>
      </c>
      <c r="L13" s="38">
        <v>12087</v>
      </c>
      <c r="M13" s="38">
        <v>7861</v>
      </c>
      <c r="N13" s="38">
        <v>9756</v>
      </c>
      <c r="O13" s="38">
        <v>7274</v>
      </c>
      <c r="P13" s="38">
        <v>14409</v>
      </c>
      <c r="Q13" s="38">
        <v>6439</v>
      </c>
      <c r="R13" s="26">
        <f>SUM($F$13:$Q$13)</f>
        <v>0</v>
      </c>
    </row>
    <row r="14" spans="1:19" ht="20" customHeight="1">
      <c r="B14" s="20" t="s">
        <v>160</v>
      </c>
      <c r="C14" s="20" t="s">
        <v>161</v>
      </c>
      <c r="D14" s="20" t="s">
        <v>162</v>
      </c>
      <c r="E14" s="17" t="s">
        <v>84</v>
      </c>
      <c r="F14" s="38">
        <v>102297</v>
      </c>
      <c r="G14" s="38">
        <v>97098</v>
      </c>
      <c r="H14" s="38">
        <v>92913</v>
      </c>
      <c r="I14" s="38">
        <v>107062</v>
      </c>
      <c r="J14" s="38">
        <v>102005</v>
      </c>
      <c r="K14" s="38">
        <v>97445</v>
      </c>
      <c r="L14" s="38">
        <v>113955</v>
      </c>
      <c r="M14" s="38">
        <v>115074</v>
      </c>
      <c r="N14" s="38">
        <v>110067</v>
      </c>
      <c r="O14" s="38">
        <v>123080</v>
      </c>
      <c r="P14" s="38">
        <v>110018</v>
      </c>
      <c r="Q14" s="38">
        <v>108335</v>
      </c>
      <c r="R14" s="26">
        <f>SUM($F$14:$Q$14)</f>
        <v>0</v>
      </c>
    </row>
    <row r="15" spans="1:19" ht="20" customHeight="1">
      <c r="B15" s="22" t="s">
        <v>163</v>
      </c>
      <c r="C15" s="22" t="s">
        <v>164</v>
      </c>
      <c r="D15" s="22" t="s">
        <v>162</v>
      </c>
      <c r="E15" s="17" t="s">
        <v>84</v>
      </c>
      <c r="F15" s="38">
        <v>82445</v>
      </c>
      <c r="G15" s="38">
        <v>78751</v>
      </c>
      <c r="H15" s="38">
        <v>74172</v>
      </c>
      <c r="I15" s="38">
        <v>91328</v>
      </c>
      <c r="J15" s="38">
        <v>79585</v>
      </c>
      <c r="K15" s="38">
        <v>79034</v>
      </c>
      <c r="L15" s="38">
        <v>93968</v>
      </c>
      <c r="M15" s="38">
        <v>98357</v>
      </c>
      <c r="N15" s="38">
        <v>92078</v>
      </c>
      <c r="O15" s="38">
        <v>102071</v>
      </c>
      <c r="P15" s="38">
        <v>87840</v>
      </c>
      <c r="Q15" s="38">
        <v>91978</v>
      </c>
      <c r="R15" s="26">
        <f>SUM($F$15:$Q$15)</f>
        <v>0</v>
      </c>
    </row>
    <row r="16" spans="1:19" ht="20" customHeight="1">
      <c r="B16" s="20" t="s">
        <v>165</v>
      </c>
      <c r="C16" s="20" t="s">
        <v>166</v>
      </c>
      <c r="D16" s="20" t="s">
        <v>167</v>
      </c>
      <c r="E16" s="17" t="s">
        <v>168</v>
      </c>
      <c r="F16" s="38">
        <v>51094</v>
      </c>
      <c r="G16" s="38">
        <v>50476</v>
      </c>
      <c r="H16" s="38">
        <v>43942</v>
      </c>
      <c r="I16" s="38">
        <v>54195</v>
      </c>
      <c r="J16" s="38">
        <v>52773</v>
      </c>
      <c r="K16" s="38">
        <v>44751</v>
      </c>
      <c r="L16" s="38">
        <v>55309</v>
      </c>
      <c r="M16" s="38">
        <v>59395</v>
      </c>
      <c r="N16" s="38">
        <v>54038</v>
      </c>
      <c r="O16" s="38">
        <v>65818</v>
      </c>
      <c r="P16" s="38">
        <v>56245</v>
      </c>
      <c r="Q16" s="38">
        <v>55768</v>
      </c>
      <c r="R16" s="26">
        <f>SUM($F$16:$Q$16)</f>
        <v>0</v>
      </c>
    </row>
    <row r="17" spans="2:18" ht="20" customHeight="1">
      <c r="B17" s="22" t="s">
        <v>169</v>
      </c>
      <c r="C17" s="22" t="s">
        <v>170</v>
      </c>
      <c r="D17" s="22" t="s">
        <v>167</v>
      </c>
      <c r="E17" s="17" t="s">
        <v>168</v>
      </c>
      <c r="F17" s="38">
        <v>7504</v>
      </c>
      <c r="G17" s="38">
        <v>6858</v>
      </c>
      <c r="H17" s="38">
        <v>5823</v>
      </c>
      <c r="I17" s="38">
        <v>8234</v>
      </c>
      <c r="J17" s="38">
        <v>8310</v>
      </c>
      <c r="K17" s="38">
        <v>5837</v>
      </c>
      <c r="L17" s="38">
        <v>7907</v>
      </c>
      <c r="M17" s="38">
        <v>9407</v>
      </c>
      <c r="N17" s="38">
        <v>9090</v>
      </c>
      <c r="O17" s="38">
        <v>9105</v>
      </c>
      <c r="P17" s="38">
        <v>9036</v>
      </c>
      <c r="Q17" s="38">
        <v>7326</v>
      </c>
      <c r="R17" s="26">
        <f>SUM($F$17:$Q$17)</f>
        <v>0</v>
      </c>
    </row>
    <row r="18" spans="2:18" ht="20" customHeight="1">
      <c r="B18" s="20" t="s">
        <v>171</v>
      </c>
      <c r="C18" s="20" t="s">
        <v>172</v>
      </c>
      <c r="D18" s="20" t="s">
        <v>167</v>
      </c>
      <c r="E18" s="17" t="s">
        <v>168</v>
      </c>
      <c r="F18" s="38">
        <v>2970</v>
      </c>
      <c r="G18" s="38">
        <v>1982</v>
      </c>
      <c r="H18" s="38">
        <v>1520</v>
      </c>
      <c r="I18" s="38">
        <v>2367</v>
      </c>
      <c r="J18" s="38">
        <v>3153</v>
      </c>
      <c r="K18" s="38">
        <v>2938</v>
      </c>
      <c r="L18" s="38">
        <v>3968</v>
      </c>
      <c r="M18" s="38">
        <v>4422</v>
      </c>
      <c r="N18" s="38">
        <v>3955</v>
      </c>
      <c r="O18" s="38">
        <v>4413</v>
      </c>
      <c r="P18" s="38">
        <v>2052</v>
      </c>
      <c r="Q18" s="38">
        <v>2574</v>
      </c>
      <c r="R18" s="26">
        <f>SUM($F$18:$Q$18)</f>
        <v>0</v>
      </c>
    </row>
    <row r="19" spans="2:18" ht="20" customHeight="1">
      <c r="B19" s="22" t="s">
        <v>173</v>
      </c>
      <c r="C19" s="22" t="s">
        <v>174</v>
      </c>
      <c r="D19" s="22" t="s">
        <v>167</v>
      </c>
      <c r="E19" s="17" t="s">
        <v>168</v>
      </c>
      <c r="F19" s="38">
        <v>9411</v>
      </c>
      <c r="G19" s="38">
        <v>8962</v>
      </c>
      <c r="H19" s="38">
        <v>6755</v>
      </c>
      <c r="I19" s="38">
        <v>8539</v>
      </c>
      <c r="J19" s="38">
        <v>9429</v>
      </c>
      <c r="K19" s="38">
        <v>7101</v>
      </c>
      <c r="L19" s="38">
        <v>9599</v>
      </c>
      <c r="M19" s="38">
        <v>8805</v>
      </c>
      <c r="N19" s="38">
        <v>8249</v>
      </c>
      <c r="O19" s="38">
        <v>11705</v>
      </c>
      <c r="P19" s="38">
        <v>8980</v>
      </c>
      <c r="Q19" s="38">
        <v>9849</v>
      </c>
      <c r="R19" s="26">
        <f>SUM($F$19:$Q$19)</f>
        <v>0</v>
      </c>
    </row>
    <row r="20" spans="2:18" ht="20" customHeight="1">
      <c r="B20" s="20" t="s">
        <v>175</v>
      </c>
      <c r="C20" s="20" t="s">
        <v>176</v>
      </c>
      <c r="D20" s="20" t="s">
        <v>177</v>
      </c>
      <c r="E20" s="17" t="s">
        <v>178</v>
      </c>
      <c r="F20" s="38">
        <v>23298</v>
      </c>
      <c r="G20" s="38">
        <v>24541</v>
      </c>
      <c r="H20" s="38">
        <v>24531</v>
      </c>
      <c r="I20" s="38">
        <v>25034</v>
      </c>
      <c r="J20" s="38">
        <v>26220</v>
      </c>
      <c r="K20" s="38">
        <v>23825</v>
      </c>
      <c r="L20" s="38">
        <v>25722</v>
      </c>
      <c r="M20" s="38">
        <v>26780</v>
      </c>
      <c r="N20" s="38">
        <v>25391</v>
      </c>
      <c r="O20" s="38">
        <v>25459</v>
      </c>
      <c r="P20" s="38">
        <v>26511</v>
      </c>
      <c r="Q20" s="38">
        <v>25521</v>
      </c>
      <c r="R20" s="26">
        <f>SUM($F$20:$Q$20)</f>
        <v>0</v>
      </c>
    </row>
    <row r="21" spans="2:18" ht="20" customHeight="1">
      <c r="B21" s="22" t="s">
        <v>179</v>
      </c>
      <c r="C21" s="22" t="s">
        <v>180</v>
      </c>
      <c r="D21" s="22" t="s">
        <v>177</v>
      </c>
      <c r="E21" s="17" t="s">
        <v>178</v>
      </c>
      <c r="F21" s="38">
        <v>5985</v>
      </c>
      <c r="G21" s="38">
        <v>6348</v>
      </c>
      <c r="H21" s="38">
        <v>6939</v>
      </c>
      <c r="I21" s="38">
        <v>6175</v>
      </c>
      <c r="J21" s="38">
        <v>6189</v>
      </c>
      <c r="K21" s="38">
        <v>6957</v>
      </c>
      <c r="L21" s="38">
        <v>7224</v>
      </c>
      <c r="M21" s="38">
        <v>7678</v>
      </c>
      <c r="N21" s="38">
        <v>8273</v>
      </c>
      <c r="O21" s="38">
        <v>7753</v>
      </c>
      <c r="P21" s="38">
        <v>6843</v>
      </c>
      <c r="Q21" s="38">
        <v>7861</v>
      </c>
      <c r="R21" s="26">
        <f>SUM($F$21:$Q$21)</f>
        <v>0</v>
      </c>
    </row>
    <row r="22" spans="2:18" ht="20" customHeight="1">
      <c r="B22" s="20" t="s">
        <v>181</v>
      </c>
      <c r="C22" s="20" t="s">
        <v>182</v>
      </c>
      <c r="D22" s="20" t="s">
        <v>177</v>
      </c>
      <c r="E22" s="17" t="s">
        <v>178</v>
      </c>
      <c r="F22" s="38">
        <v>9428</v>
      </c>
      <c r="G22" s="38">
        <v>10465</v>
      </c>
      <c r="H22" s="38">
        <v>8785</v>
      </c>
      <c r="I22" s="38">
        <v>9159</v>
      </c>
      <c r="J22" s="38">
        <v>11062</v>
      </c>
      <c r="K22" s="38">
        <v>10528</v>
      </c>
      <c r="L22" s="38">
        <v>10873</v>
      </c>
      <c r="M22" s="38">
        <v>10679</v>
      </c>
      <c r="N22" s="38">
        <v>10852</v>
      </c>
      <c r="O22" s="38">
        <v>10010</v>
      </c>
      <c r="P22" s="38">
        <v>10233</v>
      </c>
      <c r="Q22" s="38">
        <v>11276</v>
      </c>
      <c r="R22" s="26">
        <f>SUM($F$22:$Q$22)</f>
        <v>0</v>
      </c>
    </row>
    <row r="23" spans="2:18" ht="20" customHeight="1">
      <c r="B23" s="22" t="s">
        <v>183</v>
      </c>
      <c r="C23" s="22" t="s">
        <v>184</v>
      </c>
      <c r="D23" s="22" t="s">
        <v>177</v>
      </c>
      <c r="E23" s="17" t="s">
        <v>178</v>
      </c>
      <c r="F23" s="38">
        <v>16987</v>
      </c>
      <c r="G23" s="38">
        <v>17639</v>
      </c>
      <c r="H23" s="38">
        <v>17457</v>
      </c>
      <c r="I23" s="38">
        <v>17037</v>
      </c>
      <c r="J23" s="38">
        <v>18142</v>
      </c>
      <c r="K23" s="38">
        <v>17270</v>
      </c>
      <c r="L23" s="38">
        <v>17067</v>
      </c>
      <c r="M23" s="38">
        <v>16691</v>
      </c>
      <c r="N23" s="38">
        <v>17347</v>
      </c>
      <c r="O23" s="38">
        <v>18177</v>
      </c>
      <c r="P23" s="38">
        <v>17659</v>
      </c>
      <c r="Q23" s="38">
        <v>16629</v>
      </c>
      <c r="R23" s="26">
        <f>SUM($F$23:$Q$23)</f>
        <v>0</v>
      </c>
    </row>
    <row r="24" spans="2:18" ht="20" customHeight="1">
      <c r="B24" s="20" t="s">
        <v>185</v>
      </c>
      <c r="C24" s="20" t="s">
        <v>186</v>
      </c>
      <c r="D24" s="20" t="s">
        <v>177</v>
      </c>
      <c r="E24" s="17" t="s">
        <v>178</v>
      </c>
      <c r="F24" s="38">
        <v>5193</v>
      </c>
      <c r="G24" s="38">
        <v>7661</v>
      </c>
      <c r="H24" s="38">
        <v>7276</v>
      </c>
      <c r="I24" s="38">
        <v>5498</v>
      </c>
      <c r="J24" s="38">
        <v>5743</v>
      </c>
      <c r="K24" s="38">
        <v>6257</v>
      </c>
      <c r="L24" s="38">
        <v>7634</v>
      </c>
      <c r="M24" s="38">
        <v>6461</v>
      </c>
      <c r="N24" s="38">
        <v>5833</v>
      </c>
      <c r="O24" s="38">
        <v>6507</v>
      </c>
      <c r="P24" s="38">
        <v>6940</v>
      </c>
      <c r="Q24" s="38">
        <v>5975</v>
      </c>
      <c r="R24" s="26">
        <f>SUM($F$24:$Q$24)</f>
        <v>0</v>
      </c>
    </row>
    <row r="25" spans="2:18" ht="20" customHeight="1">
      <c r="B25" s="22" t="s">
        <v>187</v>
      </c>
      <c r="C25" s="22" t="s">
        <v>188</v>
      </c>
      <c r="D25" s="22" t="s">
        <v>177</v>
      </c>
      <c r="E25" s="17" t="s">
        <v>178</v>
      </c>
      <c r="F25" s="38">
        <v>17924</v>
      </c>
      <c r="G25" s="38">
        <v>18010</v>
      </c>
      <c r="H25" s="38">
        <v>18868</v>
      </c>
      <c r="I25" s="38">
        <v>17956</v>
      </c>
      <c r="J25" s="38">
        <v>18464</v>
      </c>
      <c r="K25" s="38">
        <v>19235</v>
      </c>
      <c r="L25" s="38">
        <v>20319</v>
      </c>
      <c r="M25" s="38">
        <v>19920</v>
      </c>
      <c r="N25" s="38">
        <v>20341</v>
      </c>
      <c r="O25" s="38">
        <v>18318</v>
      </c>
      <c r="P25" s="38">
        <v>19249</v>
      </c>
      <c r="Q25" s="38">
        <v>18431</v>
      </c>
      <c r="R25" s="26">
        <f>SUM($F$25:$Q$25)</f>
        <v>0</v>
      </c>
    </row>
    <row r="26" spans="2:18" ht="20" customHeight="1">
      <c r="B26" s="20" t="s">
        <v>189</v>
      </c>
      <c r="C26" s="20" t="s">
        <v>190</v>
      </c>
      <c r="D26" s="20" t="s">
        <v>190</v>
      </c>
      <c r="E26" s="17" t="s">
        <v>191</v>
      </c>
      <c r="F26" s="38">
        <v>13896</v>
      </c>
      <c r="G26" s="38">
        <v>12614</v>
      </c>
      <c r="H26" s="38">
        <v>12229</v>
      </c>
      <c r="I26" s="38">
        <v>14570</v>
      </c>
      <c r="J26" s="38">
        <v>12887</v>
      </c>
      <c r="K26" s="38">
        <v>12284</v>
      </c>
      <c r="L26" s="38">
        <v>14790</v>
      </c>
      <c r="M26" s="38">
        <v>14671</v>
      </c>
      <c r="N26" s="38">
        <v>13765</v>
      </c>
      <c r="O26" s="38">
        <v>16532</v>
      </c>
      <c r="P26" s="38">
        <v>14664</v>
      </c>
      <c r="Q26" s="38">
        <v>14199</v>
      </c>
      <c r="R26" s="26">
        <f>SUM($F$26:$Q$26)</f>
        <v>0</v>
      </c>
    </row>
    <row r="27" spans="2:18" ht="22" customHeight="1">
      <c r="C27" s="25" t="s">
        <v>192</v>
      </c>
      <c r="F27" s="26">
        <f>SUM(F$10:F$26)</f>
        <v>0</v>
      </c>
      <c r="G27" s="26">
        <f>SUM(G$10:G$26)</f>
        <v>0</v>
      </c>
      <c r="H27" s="26">
        <f>SUM(H$10:H$26)</f>
        <v>0</v>
      </c>
      <c r="I27" s="26">
        <f>SUM(I$10:I$26)</f>
        <v>0</v>
      </c>
      <c r="J27" s="26">
        <f>SUM(J$10:J$26)</f>
        <v>0</v>
      </c>
      <c r="K27" s="26">
        <f>SUM(K$10:K$26)</f>
        <v>0</v>
      </c>
      <c r="L27" s="26">
        <f>SUM(L$10:L$26)</f>
        <v>0</v>
      </c>
      <c r="M27" s="26">
        <f>SUM(M$10:M$26)</f>
        <v>0</v>
      </c>
      <c r="N27" s="26">
        <f>SUM(N$10:N$26)</f>
        <v>0</v>
      </c>
      <c r="O27" s="26">
        <f>SUM(O$10:O$26)</f>
        <v>0</v>
      </c>
      <c r="P27" s="26">
        <f>SUM(P$10:P$26)</f>
        <v>0</v>
      </c>
      <c r="Q27" s="26">
        <f>SUM(Q$10:Q$26)</f>
        <v>0</v>
      </c>
      <c r="R27" s="26">
        <f>SUM(R$10:R$26)</f>
        <v>0</v>
      </c>
    </row>
    <row r="29" spans="2:18" ht="14" customHeight="1">
      <c r="B29" s="3" t="s">
        <v>193</v>
      </c>
    </row>
    <row r="30" spans="2:18" ht="26" customHeight="1">
      <c r="B30" s="16" t="s">
        <v>194</v>
      </c>
    </row>
    <row r="31" spans="2:18" ht="26" customHeight="1">
      <c r="E31" s="18" t="s">
        <v>150</v>
      </c>
      <c r="F31" s="19" t="s">
        <v>53</v>
      </c>
      <c r="G31" s="19" t="s">
        <v>54</v>
      </c>
      <c r="H31" s="19" t="s">
        <v>55</v>
      </c>
      <c r="I31" s="19" t="s">
        <v>56</v>
      </c>
      <c r="J31" s="19" t="s">
        <v>57</v>
      </c>
      <c r="K31" s="19" t="s">
        <v>58</v>
      </c>
      <c r="L31" s="19" t="s">
        <v>59</v>
      </c>
      <c r="M31" s="19" t="s">
        <v>60</v>
      </c>
      <c r="N31" s="19" t="s">
        <v>61</v>
      </c>
      <c r="O31" s="19" t="s">
        <v>62</v>
      </c>
      <c r="P31" s="19" t="s">
        <v>63</v>
      </c>
      <c r="Q31" s="19" t="s">
        <v>64</v>
      </c>
      <c r="R31" s="19" t="s">
        <v>151</v>
      </c>
    </row>
    <row r="32" spans="2:18" ht="20" customHeight="1">
      <c r="E32" s="20" t="s">
        <v>66</v>
      </c>
      <c r="F32" s="21">
        <f>SUMIFS('Data'!$F$10:$F$26,'Data'!$E$10:$E$26,"Revenue")</f>
        <v>0</v>
      </c>
      <c r="G32" s="21">
        <f>SUMIFS('Data'!$G$10:$G$26,'Data'!$E$10:$E$26,"Revenue")</f>
        <v>0</v>
      </c>
      <c r="H32" s="21">
        <f>SUMIFS('Data'!$H$10:$H$26,'Data'!$E$10:$E$26,"Revenue")</f>
        <v>0</v>
      </c>
      <c r="I32" s="21">
        <f>SUMIFS('Data'!$I$10:$I$26,'Data'!$E$10:$E$26,"Revenue")</f>
        <v>0</v>
      </c>
      <c r="J32" s="21">
        <f>SUMIFS('Data'!$J$10:$J$26,'Data'!$E$10:$E$26,"Revenue")</f>
        <v>0</v>
      </c>
      <c r="K32" s="21">
        <f>SUMIFS('Data'!$K$10:$K$26,'Data'!$E$10:$E$26,"Revenue")</f>
        <v>0</v>
      </c>
      <c r="L32" s="21">
        <f>SUMIFS('Data'!$L$10:$L$26,'Data'!$E$10:$E$26,"Revenue")</f>
        <v>0</v>
      </c>
      <c r="M32" s="21">
        <f>SUMIFS('Data'!$M$10:$M$26,'Data'!$E$10:$E$26,"Revenue")</f>
        <v>0</v>
      </c>
      <c r="N32" s="21">
        <f>SUMIFS('Data'!$N$10:$N$26,'Data'!$E$10:$E$26,"Revenue")</f>
        <v>0</v>
      </c>
      <c r="O32" s="21">
        <f>SUMIFS('Data'!$O$10:$O$26,'Data'!$E$10:$E$26,"Revenue")</f>
        <v>0</v>
      </c>
      <c r="P32" s="21">
        <f>SUMIFS('Data'!$P$10:$P$26,'Data'!$E$10:$E$26,"Revenue")</f>
        <v>0</v>
      </c>
      <c r="Q32" s="21">
        <f>SUMIFS('Data'!$Q$10:$Q$26,'Data'!$E$10:$E$26,"Revenue")</f>
        <v>0</v>
      </c>
      <c r="R32" s="21">
        <f>SUMIFS('Data'!$R$10:$R$26,'Data'!$E$10:$E$26,"Revenue")</f>
        <v>0</v>
      </c>
    </row>
    <row r="33" spans="5:18" ht="20" customHeight="1">
      <c r="E33" s="22" t="s">
        <v>84</v>
      </c>
      <c r="F33" s="23">
        <f>SUMIFS('Data'!$F$10:$F$26,'Data'!$E$10:$E$26,"Cost of sales")</f>
        <v>0</v>
      </c>
      <c r="G33" s="23">
        <f>SUMIFS('Data'!$G$10:$G$26,'Data'!$E$10:$E$26,"Cost of sales")</f>
        <v>0</v>
      </c>
      <c r="H33" s="23">
        <f>SUMIFS('Data'!$H$10:$H$26,'Data'!$E$10:$E$26,"Cost of sales")</f>
        <v>0</v>
      </c>
      <c r="I33" s="23">
        <f>SUMIFS('Data'!$I$10:$I$26,'Data'!$E$10:$E$26,"Cost of sales")</f>
        <v>0</v>
      </c>
      <c r="J33" s="23">
        <f>SUMIFS('Data'!$J$10:$J$26,'Data'!$E$10:$E$26,"Cost of sales")</f>
        <v>0</v>
      </c>
      <c r="K33" s="23">
        <f>SUMIFS('Data'!$K$10:$K$26,'Data'!$E$10:$E$26,"Cost of sales")</f>
        <v>0</v>
      </c>
      <c r="L33" s="23">
        <f>SUMIFS('Data'!$L$10:$L$26,'Data'!$E$10:$E$26,"Cost of sales")</f>
        <v>0</v>
      </c>
      <c r="M33" s="23">
        <f>SUMIFS('Data'!$M$10:$M$26,'Data'!$E$10:$E$26,"Cost of sales")</f>
        <v>0</v>
      </c>
      <c r="N33" s="23">
        <f>SUMIFS('Data'!$N$10:$N$26,'Data'!$E$10:$E$26,"Cost of sales")</f>
        <v>0</v>
      </c>
      <c r="O33" s="23">
        <f>SUMIFS('Data'!$O$10:$O$26,'Data'!$E$10:$E$26,"Cost of sales")</f>
        <v>0</v>
      </c>
      <c r="P33" s="23">
        <f>SUMIFS('Data'!$P$10:$P$26,'Data'!$E$10:$E$26,"Cost of sales")</f>
        <v>0</v>
      </c>
      <c r="Q33" s="23">
        <f>SUMIFS('Data'!$Q$10:$Q$26,'Data'!$E$10:$E$26,"Cost of sales")</f>
        <v>0</v>
      </c>
      <c r="R33" s="23">
        <f>SUMIFS('Data'!$R$10:$R$26,'Data'!$E$10:$E$26,"Cost of sales")</f>
        <v>0</v>
      </c>
    </row>
    <row r="34" spans="5:18" ht="20" customHeight="1">
      <c r="E34" s="20" t="s">
        <v>168</v>
      </c>
      <c r="F34" s="21">
        <f>SUMIFS('Data'!$F$10:$F$26,'Data'!$E$10:$E$26,"Wages")</f>
        <v>0</v>
      </c>
      <c r="G34" s="21">
        <f>SUMIFS('Data'!$G$10:$G$26,'Data'!$E$10:$E$26,"Wages")</f>
        <v>0</v>
      </c>
      <c r="H34" s="21">
        <f>SUMIFS('Data'!$H$10:$H$26,'Data'!$E$10:$E$26,"Wages")</f>
        <v>0</v>
      </c>
      <c r="I34" s="21">
        <f>SUMIFS('Data'!$I$10:$I$26,'Data'!$E$10:$E$26,"Wages")</f>
        <v>0</v>
      </c>
      <c r="J34" s="21">
        <f>SUMIFS('Data'!$J$10:$J$26,'Data'!$E$10:$E$26,"Wages")</f>
        <v>0</v>
      </c>
      <c r="K34" s="21">
        <f>SUMIFS('Data'!$K$10:$K$26,'Data'!$E$10:$E$26,"Wages")</f>
        <v>0</v>
      </c>
      <c r="L34" s="21">
        <f>SUMIFS('Data'!$L$10:$L$26,'Data'!$E$10:$E$26,"Wages")</f>
        <v>0</v>
      </c>
      <c r="M34" s="21">
        <f>SUMIFS('Data'!$M$10:$M$26,'Data'!$E$10:$E$26,"Wages")</f>
        <v>0</v>
      </c>
      <c r="N34" s="21">
        <f>SUMIFS('Data'!$N$10:$N$26,'Data'!$E$10:$E$26,"Wages")</f>
        <v>0</v>
      </c>
      <c r="O34" s="21">
        <f>SUMIFS('Data'!$O$10:$O$26,'Data'!$E$10:$E$26,"Wages")</f>
        <v>0</v>
      </c>
      <c r="P34" s="21">
        <f>SUMIFS('Data'!$P$10:$P$26,'Data'!$E$10:$E$26,"Wages")</f>
        <v>0</v>
      </c>
      <c r="Q34" s="21">
        <f>SUMIFS('Data'!$Q$10:$Q$26,'Data'!$E$10:$E$26,"Wages")</f>
        <v>0</v>
      </c>
      <c r="R34" s="21">
        <f>SUMIFS('Data'!$R$10:$R$26,'Data'!$E$10:$E$26,"Wages")</f>
        <v>0</v>
      </c>
    </row>
    <row r="35" spans="5:18" ht="20" customHeight="1">
      <c r="E35" s="22" t="s">
        <v>178</v>
      </c>
      <c r="F35" s="23">
        <f>SUMIFS('Data'!$F$10:$F$26,'Data'!$E$10:$E$26,"Other opex")</f>
        <v>0</v>
      </c>
      <c r="G35" s="23">
        <f>SUMIFS('Data'!$G$10:$G$26,'Data'!$E$10:$E$26,"Other opex")</f>
        <v>0</v>
      </c>
      <c r="H35" s="23">
        <f>SUMIFS('Data'!$H$10:$H$26,'Data'!$E$10:$E$26,"Other opex")</f>
        <v>0</v>
      </c>
      <c r="I35" s="23">
        <f>SUMIFS('Data'!$I$10:$I$26,'Data'!$E$10:$E$26,"Other opex")</f>
        <v>0</v>
      </c>
      <c r="J35" s="23">
        <f>SUMIFS('Data'!$J$10:$J$26,'Data'!$E$10:$E$26,"Other opex")</f>
        <v>0</v>
      </c>
      <c r="K35" s="23">
        <f>SUMIFS('Data'!$K$10:$K$26,'Data'!$E$10:$E$26,"Other opex")</f>
        <v>0</v>
      </c>
      <c r="L35" s="23">
        <f>SUMIFS('Data'!$L$10:$L$26,'Data'!$E$10:$E$26,"Other opex")</f>
        <v>0</v>
      </c>
      <c r="M35" s="23">
        <f>SUMIFS('Data'!$M$10:$M$26,'Data'!$E$10:$E$26,"Other opex")</f>
        <v>0</v>
      </c>
      <c r="N35" s="23">
        <f>SUMIFS('Data'!$N$10:$N$26,'Data'!$E$10:$E$26,"Other opex")</f>
        <v>0</v>
      </c>
      <c r="O35" s="23">
        <f>SUMIFS('Data'!$O$10:$O$26,'Data'!$E$10:$E$26,"Other opex")</f>
        <v>0</v>
      </c>
      <c r="P35" s="23">
        <f>SUMIFS('Data'!$P$10:$P$26,'Data'!$E$10:$E$26,"Other opex")</f>
        <v>0</v>
      </c>
      <c r="Q35" s="23">
        <f>SUMIFS('Data'!$Q$10:$Q$26,'Data'!$E$10:$E$26,"Other opex")</f>
        <v>0</v>
      </c>
      <c r="R35" s="23">
        <f>SUMIFS('Data'!$R$10:$R$26,'Data'!$E$10:$E$26,"Other opex")</f>
        <v>0</v>
      </c>
    </row>
    <row r="36" spans="5:18" ht="20" customHeight="1">
      <c r="E36" s="20" t="s">
        <v>191</v>
      </c>
      <c r="F36" s="21">
        <f>SUMIFS('Data'!$F$10:$F$26,'Data'!$E$10:$E$26,"D&amp;A")</f>
        <v>0</v>
      </c>
      <c r="G36" s="21">
        <f>SUMIFS('Data'!$G$10:$G$26,'Data'!$E$10:$E$26,"D&amp;A")</f>
        <v>0</v>
      </c>
      <c r="H36" s="21">
        <f>SUMIFS('Data'!$H$10:$H$26,'Data'!$E$10:$E$26,"D&amp;A")</f>
        <v>0</v>
      </c>
      <c r="I36" s="21">
        <f>SUMIFS('Data'!$I$10:$I$26,'Data'!$E$10:$E$26,"D&amp;A")</f>
        <v>0</v>
      </c>
      <c r="J36" s="21">
        <f>SUMIFS('Data'!$J$10:$J$26,'Data'!$E$10:$E$26,"D&amp;A")</f>
        <v>0</v>
      </c>
      <c r="K36" s="21">
        <f>SUMIFS('Data'!$K$10:$K$26,'Data'!$E$10:$E$26,"D&amp;A")</f>
        <v>0</v>
      </c>
      <c r="L36" s="21">
        <f>SUMIFS('Data'!$L$10:$L$26,'Data'!$E$10:$E$26,"D&amp;A")</f>
        <v>0</v>
      </c>
      <c r="M36" s="21">
        <f>SUMIFS('Data'!$M$10:$M$26,'Data'!$E$10:$E$26,"D&amp;A")</f>
        <v>0</v>
      </c>
      <c r="N36" s="21">
        <f>SUMIFS('Data'!$N$10:$N$26,'Data'!$E$10:$E$26,"D&amp;A")</f>
        <v>0</v>
      </c>
      <c r="O36" s="21">
        <f>SUMIFS('Data'!$O$10:$O$26,'Data'!$E$10:$E$26,"D&amp;A")</f>
        <v>0</v>
      </c>
      <c r="P36" s="21">
        <f>SUMIFS('Data'!$P$10:$P$26,'Data'!$E$10:$E$26,"D&amp;A")</f>
        <v>0</v>
      </c>
      <c r="Q36" s="21">
        <f>SUMIFS('Data'!$Q$10:$Q$26,'Data'!$E$10:$E$26,"D&amp;A")</f>
        <v>0</v>
      </c>
      <c r="R36" s="21">
        <f>SUMIFS('Data'!$R$10:$R$26,'Data'!$E$10:$E$26,"D&amp;A")</f>
        <v>0</v>
      </c>
    </row>
  </sheetData>
  <mergeCells count="3">
    <mergeCell ref="B2:Q2"/>
    <mergeCell ref="B3:Q3"/>
    <mergeCell ref="B5:R5"/>
  </mergeCells>
  <dataValidations count="1">
    <dataValidation type="list" allowBlank="1" showInputMessage="1" showErrorMessage="1" promptTitle="Report line" prompt="Pick one of Revenue, Cost of sales, Wages, Other opex, D&amp;A." sqref="E10:E26">
      <formula1>"Revenue,Cost of sales,Wages,Other opex,D&amp;A"</formula1>
    </dataValidation>
  </dataValidation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8.xml><?xml version="1.0" encoding="utf-8"?>
<worksheet xmlns="http://schemas.openxmlformats.org/spreadsheetml/2006/main" xmlns:r="http://schemas.openxmlformats.org/officeDocument/2006/relationships">
  <sheetPr>
    <tabColor rgb="FFF5A524"/>
    <pageSetUpPr fitToPage="1"/>
  </sheetPr>
  <dimension ref="A1:S21"/>
  <sheetViews>
    <sheetView showGridLines="0" workbookViewId="0"/>
  </sheetViews>
  <sheetFormatPr defaultRowHeight="15"/>
  <cols>
    <col min="1" max="1" width="2.7109375" customWidth="1"/>
    <col min="2" max="2" width="30.7109375" customWidth="1"/>
    <col min="3"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195</v>
      </c>
      <c r="C2" s="11"/>
      <c r="D2" s="11"/>
      <c r="E2" s="11"/>
      <c r="F2" s="11"/>
      <c r="G2" s="11"/>
      <c r="H2" s="11"/>
      <c r="I2" s="11"/>
      <c r="J2" s="11"/>
      <c r="K2" s="11"/>
      <c r="L2" s="11"/>
      <c r="M2" s="11"/>
      <c r="N2" s="11"/>
      <c r="O2" s="11"/>
      <c r="P2" s="11"/>
      <c r="Q2" s="11"/>
      <c r="R2" s="1"/>
      <c r="S2" s="1"/>
    </row>
    <row r="3" spans="1:19" ht="26" customHeight="1">
      <c r="A3" s="1"/>
      <c r="B3" s="12" t="s">
        <v>196</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197</v>
      </c>
      <c r="C5" s="6"/>
      <c r="D5" s="6"/>
      <c r="E5" s="6"/>
      <c r="F5" s="6"/>
      <c r="G5" s="6"/>
      <c r="H5" s="6"/>
      <c r="I5" s="6"/>
      <c r="J5" s="6"/>
      <c r="K5" s="6"/>
      <c r="L5" s="6"/>
      <c r="M5" s="6"/>
      <c r="N5" s="6"/>
      <c r="O5" s="6"/>
      <c r="P5" s="6"/>
      <c r="Q5" s="6"/>
      <c r="R5" s="6"/>
    </row>
    <row r="7" spans="1:19" ht="14" customHeight="1">
      <c r="B7" s="3" t="s">
        <v>198</v>
      </c>
    </row>
    <row r="8" spans="1:19" ht="26" customHeight="1">
      <c r="B8" s="18" t="s">
        <v>122</v>
      </c>
      <c r="C8" s="19" t="s">
        <v>53</v>
      </c>
      <c r="D8" s="19" t="s">
        <v>54</v>
      </c>
      <c r="E8" s="19" t="s">
        <v>55</v>
      </c>
      <c r="F8" s="19" t="s">
        <v>56</v>
      </c>
      <c r="G8" s="19" t="s">
        <v>57</v>
      </c>
      <c r="H8" s="19" t="s">
        <v>58</v>
      </c>
      <c r="I8" s="19" t="s">
        <v>59</v>
      </c>
      <c r="J8" s="19" t="s">
        <v>60</v>
      </c>
      <c r="K8" s="19" t="s">
        <v>61</v>
      </c>
      <c r="L8" s="19" t="s">
        <v>62</v>
      </c>
      <c r="M8" s="19" t="s">
        <v>63</v>
      </c>
      <c r="N8" s="19" t="s">
        <v>64</v>
      </c>
      <c r="O8" s="19" t="s">
        <v>133</v>
      </c>
    </row>
    <row r="9" spans="1:19" ht="22" customHeight="1">
      <c r="B9" s="39" t="s">
        <v>134</v>
      </c>
      <c r="C9" s="40">
        <v>39</v>
      </c>
      <c r="D9" s="40">
        <v>36</v>
      </c>
      <c r="E9" s="40">
        <v>38</v>
      </c>
      <c r="F9" s="40">
        <v>42</v>
      </c>
      <c r="G9" s="40">
        <v>41</v>
      </c>
      <c r="H9" s="40">
        <v>40</v>
      </c>
      <c r="I9" s="40">
        <v>42</v>
      </c>
      <c r="J9" s="40">
        <v>42</v>
      </c>
      <c r="K9" s="40">
        <v>37</v>
      </c>
      <c r="L9" s="40">
        <v>37</v>
      </c>
      <c r="M9" s="40">
        <v>39</v>
      </c>
      <c r="N9" s="40">
        <v>41</v>
      </c>
      <c r="O9" s="35">
        <f>AVERAGE(C9:N9)</f>
        <v>0</v>
      </c>
    </row>
    <row r="10" spans="1:19" ht="22" customHeight="1">
      <c r="B10" s="39" t="s">
        <v>135</v>
      </c>
      <c r="C10" s="40">
        <v>51</v>
      </c>
      <c r="D10" s="40">
        <v>41</v>
      </c>
      <c r="E10" s="40">
        <v>46</v>
      </c>
      <c r="F10" s="40">
        <v>44</v>
      </c>
      <c r="G10" s="40">
        <v>45</v>
      </c>
      <c r="H10" s="40">
        <v>49</v>
      </c>
      <c r="I10" s="40">
        <v>49</v>
      </c>
      <c r="J10" s="40">
        <v>43</v>
      </c>
      <c r="K10" s="40">
        <v>50</v>
      </c>
      <c r="L10" s="40">
        <v>50</v>
      </c>
      <c r="M10" s="40">
        <v>42</v>
      </c>
      <c r="N10" s="40">
        <v>46</v>
      </c>
      <c r="O10" s="35">
        <f>AVERAGE(C10:N10)</f>
        <v>0</v>
      </c>
    </row>
    <row r="11" spans="1:19" ht="22" customHeight="1">
      <c r="B11" s="39" t="s">
        <v>136</v>
      </c>
      <c r="C11" s="40">
        <v>25</v>
      </c>
      <c r="D11" s="40">
        <v>32</v>
      </c>
      <c r="E11" s="40">
        <v>32</v>
      </c>
      <c r="F11" s="40">
        <v>32</v>
      </c>
      <c r="G11" s="40">
        <v>27</v>
      </c>
      <c r="H11" s="40">
        <v>26</v>
      </c>
      <c r="I11" s="40">
        <v>30</v>
      </c>
      <c r="J11" s="40">
        <v>26</v>
      </c>
      <c r="K11" s="40">
        <v>31</v>
      </c>
      <c r="L11" s="40">
        <v>29</v>
      </c>
      <c r="M11" s="40">
        <v>32</v>
      </c>
      <c r="N11" s="40">
        <v>26</v>
      </c>
      <c r="O11" s="35">
        <f>AVERAGE(C11:N11)</f>
        <v>0</v>
      </c>
    </row>
    <row r="12" spans="1:19" ht="22" customHeight="1">
      <c r="B12" s="25" t="s">
        <v>200</v>
      </c>
      <c r="C12" s="35">
        <f>C9+C11-C10</f>
        <v>0</v>
      </c>
      <c r="D12" s="35">
        <f>D9+D11-D10</f>
        <v>0</v>
      </c>
      <c r="E12" s="35">
        <f>E9+E11-E10</f>
        <v>0</v>
      </c>
      <c r="F12" s="35">
        <f>F9+F11-F10</f>
        <v>0</v>
      </c>
      <c r="G12" s="35">
        <f>G9+G11-G10</f>
        <v>0</v>
      </c>
      <c r="H12" s="35">
        <f>H9+H11-H10</f>
        <v>0</v>
      </c>
      <c r="I12" s="35">
        <f>I9+I11-I10</f>
        <v>0</v>
      </c>
      <c r="J12" s="35">
        <f>J9+J11-J10</f>
        <v>0</v>
      </c>
      <c r="K12" s="35">
        <f>K9+K11-K10</f>
        <v>0</v>
      </c>
      <c r="L12" s="35">
        <f>L9+L11-L10</f>
        <v>0</v>
      </c>
      <c r="M12" s="35">
        <f>M9+M11-M10</f>
        <v>0</v>
      </c>
      <c r="N12" s="35">
        <f>N9+N11-N10</f>
        <v>0</v>
      </c>
      <c r="O12" s="35">
        <f>AVERAGE(C12:N12)</f>
        <v>0</v>
      </c>
    </row>
    <row r="15" spans="1:19" ht="14" customHeight="1">
      <c r="B15" s="3" t="s">
        <v>201</v>
      </c>
    </row>
    <row r="16" spans="1:19" ht="26" customHeight="1">
      <c r="B16" s="18" t="s">
        <v>112</v>
      </c>
      <c r="C16" s="19" t="s">
        <v>202</v>
      </c>
    </row>
    <row r="17" spans="2:3" ht="22" customHeight="1">
      <c r="B17" s="39" t="s">
        <v>114</v>
      </c>
      <c r="C17" s="41">
        <v>0.45</v>
      </c>
    </row>
    <row r="18" spans="2:3" ht="22" customHeight="1">
      <c r="B18" s="39" t="s">
        <v>115</v>
      </c>
      <c r="C18" s="41">
        <v>0.22</v>
      </c>
    </row>
    <row r="19" spans="2:3" ht="22" customHeight="1">
      <c r="B19" s="39" t="s">
        <v>116</v>
      </c>
      <c r="C19" s="41">
        <v>0.14</v>
      </c>
    </row>
    <row r="20" spans="2:3" ht="22" customHeight="1">
      <c r="B20" s="39" t="s">
        <v>117</v>
      </c>
      <c r="C20" s="41">
        <v>0.11</v>
      </c>
    </row>
    <row r="21" spans="2:3" ht="22" customHeight="1">
      <c r="B21" s="39" t="s">
        <v>118</v>
      </c>
      <c r="C21" s="41">
        <v>0.08</v>
      </c>
    </row>
  </sheetData>
  <mergeCells count="3">
    <mergeCell ref="B2:Q2"/>
    <mergeCell ref="B3:Q3"/>
    <mergeCell ref="B5:R5"/>
  </mergeCells>
  <printOptions horizontalCentered="1"/>
  <pageMargins left="0.4" right="0.4" top="0.5" bottom="0.6" header="0.2" footer="0.3"/>
  <pageSetup paperSize="9" fitToHeight="0" orientation="landscape"/>
  <headerFooter>
    <oddHeader>&amp;L&amp;"Arial"&amp;8&amp;K707070Lyros Accounting&amp;C&amp;"Arial"&amp;8&amp;K707070Internal Data Measures&amp;R&amp;"Arial"&amp;8&amp;K707070Page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9.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203</v>
      </c>
      <c r="C2" s="11"/>
      <c r="D2" s="11"/>
      <c r="E2" s="11"/>
      <c r="F2" s="11"/>
      <c r="G2" s="11"/>
      <c r="H2" s="11"/>
      <c r="I2" s="11"/>
      <c r="J2" s="11"/>
      <c r="K2" s="11"/>
      <c r="L2" s="1"/>
      <c r="M2" s="1"/>
    </row>
    <row r="3" spans="1:13" ht="26" customHeight="1">
      <c r="A3" s="1"/>
      <c r="B3" s="12" t="s">
        <v>204</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6" t="s">
        <v>205</v>
      </c>
      <c r="C7" s="16"/>
      <c r="D7" s="16"/>
      <c r="E7" s="16"/>
      <c r="F7" s="16"/>
      <c r="G7" s="16"/>
      <c r="H7" s="16"/>
      <c r="I7" s="16"/>
      <c r="J7" s="16"/>
      <c r="K7" s="16"/>
      <c r="L7" s="16"/>
    </row>
    <row r="8" spans="1:13" ht="24" customHeight="1">
      <c r="B8" s="6" t="s">
        <v>3</v>
      </c>
      <c r="C8" s="7" t="s">
        <v>206</v>
      </c>
      <c r="D8" s="7"/>
      <c r="E8" s="7"/>
      <c r="F8" s="7"/>
      <c r="G8" s="7"/>
      <c r="H8" s="7"/>
      <c r="I8" s="7"/>
      <c r="J8" s="7"/>
      <c r="K8" s="7"/>
      <c r="L8" s="7"/>
    </row>
    <row r="9" spans="1:13" ht="24" customHeight="1">
      <c r="B9" s="6" t="s">
        <v>5</v>
      </c>
      <c r="C9" s="7" t="s">
        <v>207</v>
      </c>
      <c r="D9" s="7"/>
      <c r="E9" s="7"/>
      <c r="F9" s="7"/>
      <c r="G9" s="7"/>
      <c r="H9" s="7"/>
      <c r="I9" s="7"/>
      <c r="J9" s="7"/>
      <c r="K9" s="7"/>
      <c r="L9" s="7"/>
    </row>
    <row r="10" spans="1:13" ht="24" customHeight="1">
      <c r="B10" s="6" t="s">
        <v>7</v>
      </c>
      <c r="C10" s="7" t="s">
        <v>208</v>
      </c>
      <c r="D10" s="7"/>
      <c r="E10" s="7"/>
      <c r="F10" s="7"/>
      <c r="G10" s="7"/>
      <c r="H10" s="7"/>
      <c r="I10" s="7"/>
      <c r="J10" s="7"/>
      <c r="K10" s="7"/>
      <c r="L10" s="7"/>
    </row>
    <row r="11" spans="1:13" ht="22" customHeight="1">
      <c r="B11" s="6" t="s">
        <v>209</v>
      </c>
      <c r="C11" s="6"/>
      <c r="D11" s="6"/>
      <c r="E11" s="6"/>
      <c r="F11" s="6"/>
      <c r="G11" s="6"/>
      <c r="H11" s="6"/>
      <c r="I11" s="6"/>
      <c r="J11" s="6"/>
      <c r="K11" s="6"/>
      <c r="L11" s="6"/>
    </row>
    <row r="13" spans="1:13" ht="28" customHeight="1">
      <c r="B13" s="16" t="s">
        <v>210</v>
      </c>
      <c r="C13" s="16"/>
      <c r="D13" s="16"/>
      <c r="E13" s="16"/>
      <c r="F13" s="16"/>
      <c r="G13" s="16"/>
      <c r="H13" s="16"/>
      <c r="I13" s="16"/>
      <c r="J13" s="16"/>
      <c r="K13" s="16"/>
      <c r="L13" s="16"/>
    </row>
    <row r="14" spans="1:13" ht="24" customHeight="1">
      <c r="B14" s="6" t="s">
        <v>3</v>
      </c>
      <c r="C14" s="7" t="s">
        <v>211</v>
      </c>
      <c r="D14" s="7"/>
      <c r="E14" s="7"/>
      <c r="F14" s="7"/>
      <c r="G14" s="7"/>
      <c r="H14" s="7"/>
      <c r="I14" s="7"/>
      <c r="J14" s="7"/>
      <c r="K14" s="7"/>
      <c r="L14" s="7"/>
    </row>
    <row r="15" spans="1:13" ht="24" customHeight="1">
      <c r="B15" s="6" t="s">
        <v>5</v>
      </c>
      <c r="C15" s="7" t="s">
        <v>212</v>
      </c>
      <c r="D15" s="7"/>
      <c r="E15" s="7"/>
      <c r="F15" s="7"/>
      <c r="G15" s="7"/>
      <c r="H15" s="7"/>
      <c r="I15" s="7"/>
      <c r="J15" s="7"/>
      <c r="K15" s="7"/>
      <c r="L15" s="7"/>
    </row>
    <row r="16" spans="1:13" ht="24" customHeight="1">
      <c r="B16" s="6" t="s">
        <v>7</v>
      </c>
      <c r="C16" s="7" t="s">
        <v>213</v>
      </c>
      <c r="D16" s="7"/>
      <c r="E16" s="7"/>
      <c r="F16" s="7"/>
      <c r="G16" s="7"/>
      <c r="H16" s="7"/>
      <c r="I16" s="7"/>
      <c r="J16" s="7"/>
      <c r="K16" s="7"/>
      <c r="L16" s="7"/>
    </row>
    <row r="17" spans="2:12" ht="22" customHeight="1">
      <c r="B17" s="6" t="s">
        <v>214</v>
      </c>
      <c r="C17" s="6"/>
      <c r="D17" s="6"/>
      <c r="E17" s="6"/>
      <c r="F17" s="6"/>
      <c r="G17" s="6"/>
      <c r="H17" s="6"/>
      <c r="I17" s="6"/>
      <c r="J17" s="6"/>
      <c r="K17" s="6"/>
      <c r="L17" s="6"/>
    </row>
    <row r="20" spans="2:12" ht="24" customHeight="1">
      <c r="B20" s="10" t="s">
        <v>39</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Cover</vt:lpstr>
      <vt:lpstr>Headline</vt:lpstr>
      <vt:lpstr>P&amp;L Monthly</vt:lpstr>
      <vt:lpstr>Quarter Comparison</vt:lpstr>
      <vt:lpstr>Wages</vt:lpstr>
      <vt:lpstr>Working Capital</vt:lpstr>
      <vt:lpstr>Data</vt:lpstr>
      <vt:lpstr>Internal Data Measures</vt:lpstr>
      <vt:lpstr>Connect your data</vt:lpstr>
      <vt:lpstr>'Connect your data'!Print_Area</vt:lpstr>
      <vt:lpstr>Cover!Print_Area</vt:lpstr>
      <vt:lpstr>'Connect your data'!Print_Titles</vt:lpstr>
      <vt:lpstr>Data!Print_Titles</vt:lpstr>
      <vt:lpstr>Headline!Print_Titles</vt:lpstr>
      <vt:lpstr>'Internal Data Measures'!Print_Titles</vt:lpstr>
      <vt:lpstr>'P&amp;L Monthly'!Print_Titles</vt:lpstr>
      <vt:lpstr>'Quarter Comparison'!Print_Titles</vt:lpstr>
      <vt:lpstr>Wages!Print_Titles</vt:lpstr>
      <vt:lpstr>'Working Capital'!Print_Titles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2026-05-23T20:47:50Z</dcterms:created>
  <dcterms:modified xsi:type="dcterms:W3CDTF">2026-05-23T20:47:50Z</dcterms:modified>
</cp:coreProperties>
</file>